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3"/>
  </bookViews>
  <sheets>
    <sheet name="ARQ" sheetId="1" r:id="rId1"/>
    <sheet name="OUTROS" sheetId="5" r:id="rId2"/>
    <sheet name="AF" sheetId="2" r:id="rId3"/>
    <sheet name="ESG" sheetId="3" r:id="rId4"/>
    <sheet name="ELET" sheetId="4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" i="3" l="1"/>
  <c r="J20" i="3"/>
  <c r="I166" i="1"/>
  <c r="J62" i="1"/>
  <c r="J61" i="1"/>
  <c r="C36" i="1" l="1"/>
  <c r="I36" i="1"/>
  <c r="J36" i="1" s="1"/>
  <c r="D35" i="1"/>
  <c r="I34" i="1" l="1"/>
  <c r="J34" i="1" s="1"/>
  <c r="I35" i="1"/>
  <c r="J35" i="1" s="1"/>
  <c r="N33" i="1" l="1"/>
  <c r="O33" i="1" s="1"/>
  <c r="H52" i="3" l="1"/>
  <c r="I51" i="3"/>
  <c r="E31" i="3" l="1"/>
  <c r="E30" i="3"/>
  <c r="M58" i="1" l="1"/>
  <c r="M68" i="1" l="1"/>
  <c r="M37" i="1"/>
  <c r="C69" i="1"/>
  <c r="H69" i="1" s="1"/>
  <c r="I69" i="1" s="1"/>
  <c r="H68" i="1" l="1"/>
  <c r="N68" i="1" s="1"/>
  <c r="O68" i="1" s="1"/>
  <c r="H60" i="1" l="1"/>
  <c r="I60" i="1" s="1"/>
  <c r="H59" i="1"/>
  <c r="I59" i="1" s="1"/>
  <c r="H58" i="1" l="1"/>
  <c r="N58" i="1" s="1"/>
  <c r="AM3" i="4"/>
  <c r="AM18" i="4" s="1"/>
  <c r="AJ6" i="4"/>
  <c r="AN6" i="4" s="1"/>
  <c r="AO6" i="4" s="1"/>
  <c r="AJ4" i="4"/>
  <c r="AN4" i="4" s="1"/>
  <c r="AO4" i="4" s="1"/>
  <c r="AJ3" i="4" l="1"/>
  <c r="F4" i="3"/>
  <c r="W10" i="3"/>
  <c r="G4" i="3"/>
  <c r="E4" i="3"/>
  <c r="G21" i="3"/>
  <c r="H21" i="3" s="1"/>
  <c r="AN3" i="4" l="1"/>
  <c r="G46" i="3"/>
  <c r="G15" i="3" s="1"/>
  <c r="F46" i="3"/>
  <c r="F15" i="3" s="1"/>
  <c r="E46" i="3"/>
  <c r="E15" i="3" s="1"/>
  <c r="H15" i="3" s="1"/>
  <c r="F5" i="3"/>
  <c r="E5" i="3"/>
  <c r="F47" i="3"/>
  <c r="F16" i="3" s="1"/>
  <c r="E47" i="3"/>
  <c r="W20" i="3"/>
  <c r="F48" i="3"/>
  <c r="F17" i="3" s="1"/>
  <c r="E48" i="3"/>
  <c r="W29" i="3"/>
  <c r="W2" i="3"/>
  <c r="F3" i="3"/>
  <c r="E3" i="3"/>
  <c r="F20" i="3"/>
  <c r="E20" i="3"/>
  <c r="F45" i="3"/>
  <c r="F14" i="3" s="1"/>
  <c r="E45" i="3"/>
  <c r="E14" i="3" s="1"/>
  <c r="H14" i="3" s="1"/>
  <c r="G30" i="3"/>
  <c r="F30" i="3"/>
  <c r="G31" i="3"/>
  <c r="F31" i="3"/>
  <c r="H20" i="3" l="1"/>
  <c r="H47" i="3"/>
  <c r="K47" i="3" s="1"/>
  <c r="L47" i="3" s="1"/>
  <c r="H48" i="3"/>
  <c r="E16" i="3"/>
  <c r="H16" i="3" s="1"/>
  <c r="J14" i="3" s="1"/>
  <c r="E6" i="3"/>
  <c r="C9" i="3" s="1"/>
  <c r="F6" i="3"/>
  <c r="E17" i="3"/>
  <c r="H17" i="3" s="1"/>
  <c r="F17" i="2"/>
  <c r="F3" i="2" s="1"/>
  <c r="E17" i="2"/>
  <c r="E3" i="2" s="1"/>
  <c r="W3" i="2"/>
  <c r="F10" i="2"/>
  <c r="E10" i="2"/>
  <c r="F11" i="2"/>
  <c r="E11" i="2"/>
  <c r="E13" i="2"/>
  <c r="G13" i="2" s="1"/>
  <c r="J13" i="2" s="1"/>
  <c r="K13" i="2" s="1"/>
  <c r="F13" i="2"/>
  <c r="C11" i="3" l="1"/>
  <c r="C10" i="3"/>
  <c r="E6" i="2"/>
  <c r="F6" i="2"/>
  <c r="G10" i="5"/>
  <c r="G9" i="5"/>
  <c r="G8" i="5" s="1"/>
  <c r="G7" i="5"/>
  <c r="G6" i="5"/>
  <c r="G5" i="5" s="1"/>
  <c r="G4" i="5"/>
  <c r="G3" i="5"/>
  <c r="G2" i="5" s="1"/>
  <c r="G13" i="4" l="1"/>
  <c r="J13" i="4" s="1"/>
  <c r="K13" i="4" s="1"/>
  <c r="G12" i="4"/>
  <c r="J12" i="4" s="1"/>
  <c r="K12" i="4" s="1"/>
  <c r="E9" i="4"/>
  <c r="E3" i="4" s="1"/>
  <c r="F9" i="4"/>
  <c r="F3" i="4" s="1"/>
  <c r="E6" i="4" l="1"/>
  <c r="F6" i="4"/>
  <c r="AJ12" i="4"/>
  <c r="AJ8" i="4"/>
  <c r="G6" i="4" l="1"/>
  <c r="G3" i="4"/>
  <c r="G15" i="4"/>
  <c r="J15" i="4" s="1"/>
  <c r="K15" i="4" s="1"/>
  <c r="G11" i="4"/>
  <c r="J11" i="4" s="1"/>
  <c r="K11" i="4" s="1"/>
  <c r="G9" i="4"/>
  <c r="J9" i="4" s="1"/>
  <c r="K9" i="4" s="1"/>
  <c r="AJ16" i="4"/>
  <c r="AN16" i="4" s="1"/>
  <c r="AO16" i="4" s="1"/>
  <c r="AN12" i="4"/>
  <c r="AO12" i="4" s="1"/>
  <c r="AK3" i="4" l="1"/>
  <c r="AN8" i="4"/>
  <c r="AO8" i="4" s="1"/>
  <c r="AO3" i="4"/>
  <c r="AN18" i="4" l="1"/>
  <c r="AO18" i="4" s="1"/>
  <c r="H43" i="3"/>
  <c r="K43" i="3" s="1"/>
  <c r="L43" i="3" s="1"/>
  <c r="I9" i="2" l="1"/>
  <c r="G9" i="2"/>
  <c r="G12" i="2"/>
  <c r="J12" i="2" s="1"/>
  <c r="K12" i="2" s="1"/>
  <c r="G11" i="2"/>
  <c r="J11" i="2" s="1"/>
  <c r="K11" i="2" s="1"/>
  <c r="H46" i="3"/>
  <c r="K46" i="3" s="1"/>
  <c r="L46" i="3" s="1"/>
  <c r="H42" i="3"/>
  <c r="K42" i="3" s="1"/>
  <c r="L42" i="3" s="1"/>
  <c r="H41" i="3"/>
  <c r="K41" i="3" s="1"/>
  <c r="L41" i="3" s="1"/>
  <c r="H40" i="3"/>
  <c r="K40" i="3" s="1"/>
  <c r="L40" i="3" s="1"/>
  <c r="H39" i="3"/>
  <c r="K39" i="3" s="1"/>
  <c r="L39" i="3" s="1"/>
  <c r="H38" i="3"/>
  <c r="K38" i="3" s="1"/>
  <c r="L38" i="3" s="1"/>
  <c r="H37" i="3"/>
  <c r="K37" i="3" s="1"/>
  <c r="L37" i="3" s="1"/>
  <c r="H36" i="3"/>
  <c r="K36" i="3" s="1"/>
  <c r="L36" i="3" s="1"/>
  <c r="H35" i="3"/>
  <c r="K35" i="3" s="1"/>
  <c r="L35" i="3" s="1"/>
  <c r="H34" i="3"/>
  <c r="K34" i="3" s="1"/>
  <c r="L34" i="3" s="1"/>
  <c r="H33" i="3"/>
  <c r="K33" i="3" s="1"/>
  <c r="L33" i="3" s="1"/>
  <c r="H32" i="3"/>
  <c r="K32" i="3" s="1"/>
  <c r="L32" i="3" s="1"/>
  <c r="H31" i="3"/>
  <c r="K31" i="3" s="1"/>
  <c r="L31" i="3" s="1"/>
  <c r="H30" i="3"/>
  <c r="K30" i="3" s="1"/>
  <c r="L30" i="3" s="1"/>
  <c r="H29" i="3"/>
  <c r="K29" i="3" s="1"/>
  <c r="L29" i="3" s="1"/>
  <c r="H28" i="3"/>
  <c r="K28" i="3" s="1"/>
  <c r="L28" i="3" s="1"/>
  <c r="H27" i="3"/>
  <c r="K27" i="3" s="1"/>
  <c r="L27" i="3" s="1"/>
  <c r="H24" i="3"/>
  <c r="K24" i="3" s="1"/>
  <c r="L24" i="3" s="1"/>
  <c r="G15" i="2"/>
  <c r="J15" i="2" s="1"/>
  <c r="K15" i="2" s="1"/>
  <c r="G10" i="2"/>
  <c r="J10" i="2" s="1"/>
  <c r="K10" i="2" s="1"/>
  <c r="J9" i="2" l="1"/>
  <c r="K9" i="2" s="1"/>
  <c r="H45" i="3"/>
  <c r="K45" i="3" s="1"/>
  <c r="L45" i="3" s="1"/>
  <c r="K48" i="3"/>
  <c r="L48" i="3" s="1"/>
  <c r="G6" i="2"/>
  <c r="G17" i="2"/>
  <c r="J17" i="2" s="1"/>
  <c r="K17" i="2" s="1"/>
  <c r="G3" i="2" l="1"/>
  <c r="C28" i="1" l="1"/>
  <c r="I28" i="1" s="1"/>
  <c r="J28" i="1" s="1"/>
  <c r="C75" i="1"/>
  <c r="I75" i="1" s="1"/>
  <c r="I74" i="1"/>
  <c r="C82" i="1"/>
  <c r="I82" i="1" s="1"/>
  <c r="I135" i="1" l="1"/>
  <c r="I134" i="1"/>
  <c r="I78" i="1"/>
  <c r="I81" i="1"/>
  <c r="I77" i="1"/>
  <c r="I67" i="1"/>
  <c r="I66" i="1"/>
  <c r="I72" i="1" l="1"/>
  <c r="N72" i="1" s="1"/>
  <c r="O72" i="1" s="1"/>
  <c r="I65" i="1"/>
  <c r="N65" i="1" s="1"/>
  <c r="O65" i="1" s="1"/>
  <c r="M79" i="1"/>
  <c r="G25" i="1" l="1"/>
  <c r="J25" i="1" s="1"/>
  <c r="G23" i="1"/>
  <c r="J23" i="1" s="1"/>
  <c r="G22" i="1"/>
  <c r="M29" i="1"/>
  <c r="I51" i="1"/>
  <c r="I50" i="1"/>
  <c r="I49" i="1"/>
  <c r="I48" i="1"/>
  <c r="I46" i="1"/>
  <c r="I44" i="1"/>
  <c r="I43" i="1"/>
  <c r="I42" i="1"/>
  <c r="I41" i="1"/>
  <c r="I40" i="1"/>
  <c r="C57" i="1"/>
  <c r="D57" i="1"/>
  <c r="D56" i="1"/>
  <c r="C56" i="1"/>
  <c r="I32" i="1"/>
  <c r="J32" i="1" s="1"/>
  <c r="I31" i="1"/>
  <c r="J60" i="1"/>
  <c r="G15" i="1"/>
  <c r="N15" i="1" s="1"/>
  <c r="O15" i="1" s="1"/>
  <c r="G14" i="1"/>
  <c r="N14" i="1" s="1"/>
  <c r="O14" i="1" s="1"/>
  <c r="G13" i="1"/>
  <c r="N13" i="1" s="1"/>
  <c r="O13" i="1" s="1"/>
  <c r="G17" i="1"/>
  <c r="N17" i="1" s="1"/>
  <c r="O17" i="1" s="1"/>
  <c r="G20" i="1"/>
  <c r="G19" i="1"/>
  <c r="G21" i="1"/>
  <c r="G26" i="1"/>
  <c r="G24" i="1"/>
  <c r="M12" i="1"/>
  <c r="M16" i="1"/>
  <c r="M18" i="1"/>
  <c r="M3" i="1"/>
  <c r="H100" i="1"/>
  <c r="I100" i="1" s="1"/>
  <c r="H91" i="1"/>
  <c r="I91" i="1" s="1"/>
  <c r="I99" i="1"/>
  <c r="I98" i="1"/>
  <c r="I97" i="1"/>
  <c r="I96" i="1"/>
  <c r="I95" i="1"/>
  <c r="I94" i="1"/>
  <c r="I90" i="1"/>
  <c r="I89" i="1"/>
  <c r="I88" i="1"/>
  <c r="I87" i="1"/>
  <c r="I86" i="1"/>
  <c r="I85" i="1"/>
  <c r="M108" i="1"/>
  <c r="H111" i="1"/>
  <c r="I111" i="1" s="1"/>
  <c r="D105" i="1"/>
  <c r="D104" i="1"/>
  <c r="C105" i="1"/>
  <c r="C104" i="1"/>
  <c r="I153" i="1"/>
  <c r="I152" i="1"/>
  <c r="I130" i="1"/>
  <c r="I140" i="1"/>
  <c r="M144" i="1"/>
  <c r="G161" i="1"/>
  <c r="I161" i="1" s="1"/>
  <c r="I29" i="1" l="1"/>
  <c r="J31" i="1"/>
  <c r="J29" i="1" s="1"/>
  <c r="I79" i="1"/>
  <c r="N25" i="1"/>
  <c r="O25" i="1" s="1"/>
  <c r="N30" i="1"/>
  <c r="O30" i="1" s="1"/>
  <c r="N38" i="1"/>
  <c r="O38" i="1" s="1"/>
  <c r="I58" i="1"/>
  <c r="I150" i="1"/>
  <c r="N150" i="1" s="1"/>
  <c r="O150" i="1" s="1"/>
  <c r="G166" i="1"/>
  <c r="G211" i="1"/>
  <c r="G207" i="1"/>
  <c r="G204" i="1"/>
  <c r="G201" i="1"/>
  <c r="G198" i="1"/>
  <c r="G195" i="1"/>
  <c r="G192" i="1"/>
  <c r="G189" i="1"/>
  <c r="N189" i="1" s="1"/>
  <c r="O189" i="1" s="1"/>
  <c r="G186" i="1"/>
  <c r="G183" i="1"/>
  <c r="G180" i="1"/>
  <c r="G177" i="1"/>
  <c r="G174" i="1"/>
  <c r="G171" i="1"/>
  <c r="J59" i="1" l="1"/>
  <c r="J58" i="1" s="1"/>
  <c r="O58" i="1" l="1"/>
  <c r="G18" i="1" l="1"/>
  <c r="I112" i="1"/>
  <c r="H113" i="1" l="1"/>
  <c r="I113" i="1" s="1"/>
  <c r="N18" i="1"/>
  <c r="O18" i="1" s="1"/>
  <c r="M146" i="1"/>
  <c r="I133" i="1" l="1"/>
  <c r="I167" i="1"/>
  <c r="I54" i="1" l="1"/>
  <c r="J54" i="1" s="1"/>
  <c r="I53" i="1"/>
  <c r="I57" i="1"/>
  <c r="J57" i="1" s="1"/>
  <c r="I37" i="1" l="1"/>
  <c r="N37" i="1" s="1"/>
  <c r="J53" i="1"/>
  <c r="J37" i="1" s="1"/>
  <c r="N52" i="1"/>
  <c r="O52" i="1" s="1"/>
  <c r="I56" i="1"/>
  <c r="G10" i="1"/>
  <c r="J11" i="1"/>
  <c r="J10" i="1" s="1"/>
  <c r="I11" i="1"/>
  <c r="I10" i="1" s="1"/>
  <c r="N24" i="1"/>
  <c r="O24" i="1" s="1"/>
  <c r="N23" i="1"/>
  <c r="O23" i="1" s="1"/>
  <c r="N22" i="1"/>
  <c r="O22" i="1" s="1"/>
  <c r="N19" i="1"/>
  <c r="O19" i="1" s="1"/>
  <c r="J26" i="1"/>
  <c r="J20" i="1"/>
  <c r="G12" i="1"/>
  <c r="J22" i="1"/>
  <c r="J21" i="1"/>
  <c r="J56" i="1" l="1"/>
  <c r="J55" i="1" s="1"/>
  <c r="I55" i="1"/>
  <c r="N55" i="1" s="1"/>
  <c r="N29" i="1"/>
  <c r="N21" i="1"/>
  <c r="O21" i="1" s="1"/>
  <c r="N20" i="1"/>
  <c r="O20" i="1" s="1"/>
  <c r="N26" i="1"/>
  <c r="O26" i="1" s="1"/>
  <c r="I114" i="1"/>
  <c r="I105" i="1"/>
  <c r="I120" i="1"/>
  <c r="N166" i="1"/>
  <c r="O166" i="1" s="1"/>
  <c r="I104" i="1" l="1"/>
  <c r="N207" i="1"/>
  <c r="M161" i="1"/>
  <c r="N211" i="1"/>
  <c r="O211" i="1" s="1"/>
  <c r="I103" i="1" l="1"/>
  <c r="I109" i="1" s="1"/>
  <c r="I108" i="1" s="1"/>
  <c r="J14" i="1"/>
  <c r="N108" i="1" l="1"/>
  <c r="N103" i="1"/>
  <c r="O103" i="1" s="1"/>
  <c r="O29" i="1" l="1"/>
  <c r="I7" i="1"/>
  <c r="J7" i="1" s="1"/>
  <c r="I127" i="1" l="1"/>
  <c r="I128" i="1"/>
  <c r="I122" i="1"/>
  <c r="I119" i="1"/>
  <c r="I124" i="1"/>
  <c r="I123" i="1"/>
  <c r="I121" i="1"/>
  <c r="I141" i="1" l="1"/>
  <c r="I138" i="1" s="1"/>
  <c r="H157" i="1"/>
  <c r="H158" i="1"/>
  <c r="I158" i="1" s="1"/>
  <c r="O207" i="1"/>
  <c r="N204" i="1"/>
  <c r="O204" i="1" s="1"/>
  <c r="N201" i="1"/>
  <c r="O201" i="1" s="1"/>
  <c r="N198" i="1"/>
  <c r="O198" i="1" s="1"/>
  <c r="N195" i="1"/>
  <c r="O195" i="1" s="1"/>
  <c r="N192" i="1"/>
  <c r="O192" i="1" s="1"/>
  <c r="N186" i="1"/>
  <c r="O186" i="1" s="1"/>
  <c r="N183" i="1"/>
  <c r="O183" i="1" s="1"/>
  <c r="N180" i="1"/>
  <c r="O180" i="1" s="1"/>
  <c r="N177" i="1"/>
  <c r="O177" i="1" s="1"/>
  <c r="N174" i="1"/>
  <c r="O174" i="1" s="1"/>
  <c r="N171" i="1"/>
  <c r="I147" i="1" l="1"/>
  <c r="I146" i="1" s="1"/>
  <c r="I157" i="1"/>
  <c r="I156" i="1" s="1"/>
  <c r="N138" i="1" l="1"/>
  <c r="O171" i="1"/>
  <c r="I168" i="1"/>
  <c r="N161" i="1"/>
  <c r="O161" i="1" s="1"/>
  <c r="I132" i="1"/>
  <c r="I131" i="1"/>
  <c r="I129" i="1"/>
  <c r="I117" i="1" l="1"/>
  <c r="N79" i="1"/>
  <c r="O79" i="1" s="1"/>
  <c r="N156" i="1"/>
  <c r="O156" i="1" s="1"/>
  <c r="N146" i="1"/>
  <c r="O146" i="1" s="1"/>
  <c r="N133" i="1"/>
  <c r="O133" i="1" s="1"/>
  <c r="O108" i="1"/>
  <c r="I27" i="1"/>
  <c r="N27" i="1" s="1"/>
  <c r="J19" i="1"/>
  <c r="N10" i="1"/>
  <c r="O10" i="1" s="1"/>
  <c r="J24" i="1"/>
  <c r="J17" i="1"/>
  <c r="J16" i="1" s="1"/>
  <c r="G16" i="1"/>
  <c r="J15" i="1"/>
  <c r="J13" i="1"/>
  <c r="I9" i="1"/>
  <c r="J9" i="1" s="1"/>
  <c r="I8" i="1"/>
  <c r="J8" i="1" s="1"/>
  <c r="G6" i="1"/>
  <c r="N6" i="1" s="1"/>
  <c r="O6" i="1" s="1"/>
  <c r="I5" i="1"/>
  <c r="J5" i="1" s="1"/>
  <c r="I4" i="1"/>
  <c r="J4" i="1" s="1"/>
  <c r="G3" i="1"/>
  <c r="N3" i="1" s="1"/>
  <c r="O3" i="1" s="1"/>
  <c r="J18" i="1" l="1"/>
  <c r="I145" i="1"/>
  <c r="I144" i="1" s="1"/>
  <c r="N144" i="1" s="1"/>
  <c r="O144" i="1" s="1"/>
  <c r="J27" i="1"/>
  <c r="O138" i="1"/>
  <c r="N117" i="1"/>
  <c r="O117" i="1" s="1"/>
  <c r="O55" i="1"/>
  <c r="O37" i="1"/>
  <c r="N12" i="1"/>
  <c r="O12" i="1" s="1"/>
  <c r="N16" i="1"/>
  <c r="O16" i="1" s="1"/>
  <c r="J6" i="1"/>
  <c r="J3" i="1"/>
  <c r="J12" i="1"/>
  <c r="O27" i="1" l="1"/>
</calcChain>
</file>

<file path=xl/sharedStrings.xml><?xml version="1.0" encoding="utf-8"?>
<sst xmlns="http://schemas.openxmlformats.org/spreadsheetml/2006/main" count="810" uniqueCount="255">
  <si>
    <t>REMOÇÕES E DEMOLIÇÕES</t>
  </si>
  <si>
    <t>Unid.</t>
  </si>
  <si>
    <t>C (m)</t>
  </si>
  <si>
    <t>L (m)</t>
  </si>
  <si>
    <t>e (m)</t>
  </si>
  <si>
    <t>h (m)</t>
  </si>
  <si>
    <t>P (m)</t>
  </si>
  <si>
    <t>A (m²)</t>
  </si>
  <si>
    <t>V (m³)</t>
  </si>
  <si>
    <t>Considerações</t>
  </si>
  <si>
    <t>m²</t>
  </si>
  <si>
    <t>REMOÇÃO DE TOMADAS E/OU INTERRUPTORES</t>
  </si>
  <si>
    <t>Tomadas</t>
  </si>
  <si>
    <t>Interruptores</t>
  </si>
  <si>
    <t>REMOÇÃO DE LUMINÁRIAS</t>
  </si>
  <si>
    <t>Embutir</t>
  </si>
  <si>
    <t>Plafonier</t>
  </si>
  <si>
    <t>Tubular</t>
  </si>
  <si>
    <t>E</t>
  </si>
  <si>
    <t>W</t>
  </si>
  <si>
    <t>REMOÇÃO DE LOUÇAS SANITÁRIAS</t>
  </si>
  <si>
    <t>Lavatórios</t>
  </si>
  <si>
    <t>Bacia sanitária</t>
  </si>
  <si>
    <t>REMOÇÃO DE METAIS SANITÁRIOS</t>
  </si>
  <si>
    <t>Torneiras</t>
  </si>
  <si>
    <t>REMOÇÃO DE ACESSÓRIOS</t>
  </si>
  <si>
    <t>Espelhos</t>
  </si>
  <si>
    <t>DEMOLIÇÃO DE ALVENARIA DE BLOCO CERÂMICO</t>
  </si>
  <si>
    <t>S</t>
  </si>
  <si>
    <t>DEMOLIÇÃO DE REVESTIMENTO CERÂMICO - PISO E PAREDES</t>
  </si>
  <si>
    <t>Considerado que martelete removerá também argamassa de assentamento. 
Não consideradas quantidades das paredes que serão completamente demolidas.</t>
  </si>
  <si>
    <t>N</t>
  </si>
  <si>
    <t>DEMOLIÇÃO DE ARGAMASSAS (ATÉ 5CM) - CONTRAPISO</t>
  </si>
  <si>
    <t>CARGA MANUAL DE ENTULHO</t>
  </si>
  <si>
    <t>TRANSPORTE COM CAMINHÃO BASCULANTE DE 6M³</t>
  </si>
  <si>
    <t>m2</t>
  </si>
  <si>
    <t>Tabelado</t>
  </si>
  <si>
    <t>Variação</t>
  </si>
  <si>
    <t>Folga de 2cm das fixações.</t>
  </si>
  <si>
    <t>Ralos</t>
  </si>
  <si>
    <t>Valvula de descarga</t>
  </si>
  <si>
    <t xml:space="preserve"> </t>
  </si>
  <si>
    <t>Porta papel toalha</t>
  </si>
  <si>
    <t>m3</t>
  </si>
  <si>
    <t>PAREDES</t>
  </si>
  <si>
    <t>Janela</t>
  </si>
  <si>
    <t>PISOS</t>
  </si>
  <si>
    <t>m3/km</t>
  </si>
  <si>
    <t>IMPERMEABILIZAÇÃO</t>
  </si>
  <si>
    <t>APLICAÇÃO MASSA ÚNICA</t>
  </si>
  <si>
    <t>Paredes novas: TODAS.
Paredes com cerâmica: TODAS 
Demais paredes: onde era cerâmica e será aplicada pintura</t>
  </si>
  <si>
    <t>IMPERMEABILIZAÇÃO ARGAMASSA POLIMÉRICA</t>
  </si>
  <si>
    <t>REVESTIMENTOS ARGAMASSADOS - PAREDE</t>
  </si>
  <si>
    <t>REVESTIMENTOS ARGAMASSADOS - PISO</t>
  </si>
  <si>
    <t>REVESTIMENTO DECORATIVO - PAREDE</t>
  </si>
  <si>
    <t>[PAREDE 1] REVESTIMENTO CERÂMICO BRANCO MATE RETIFICADO 30X60CM (PORTOBELLO CETIM BIANCO)</t>
  </si>
  <si>
    <t xml:space="preserve">[PAREDE 2] MASSA CORRIDA+FUNDO SELADOR+TINTA LÁTEX ACRÍLICA PREMIUM BRANCO ACETINADO (CORAL DECORA SEDA BRANCO) </t>
  </si>
  <si>
    <t>REVESTIMENTO DECORATIVO - PISO</t>
  </si>
  <si>
    <t>PEDRAS</t>
  </si>
  <si>
    <t>SOLEIRA GRANITO CINZA ANDORINHA e=2,0CM</t>
  </si>
  <si>
    <t>ESQUADRIAS (PORTAS E JANELAS)</t>
  </si>
  <si>
    <t>H (m)</t>
  </si>
  <si>
    <t>Pintura = Folha x 3</t>
  </si>
  <si>
    <t>ESPELHOS</t>
  </si>
  <si>
    <t>RESERVA TÉCNICA</t>
  </si>
  <si>
    <t>Espelho E1 (50x90cm)</t>
  </si>
  <si>
    <t>LOUÇAS METAIS E ACESSÓRIOS</t>
  </si>
  <si>
    <t>H1 - DISPENSER PAPEL TOALHA TIPO BOBINA AUTOCORTE BRANCO (TRILHA EXCELÊNCIA, LINHA EXACCTA, E-DPCM007)</t>
  </si>
  <si>
    <t>H2 - TORNEIRA DE USO GERAL CROMADA, COM ACABAMENTO POLIDO (DOCOL 1130 NOVA PERTUTTI 00903706)</t>
  </si>
  <si>
    <t>H3 - TORNEIRA MESA CROMADA, COM ACABAMENTO POLIDO E FECHAMENTO AUTOMÁTICO DOCOL PRESSMATIC 17160606) + ENGATE PVC</t>
  </si>
  <si>
    <t>H5 - DISPENSER SABONETE LÍQUIDO 800ML BRANCO (PREMISSE CLEAN VELOX C19428)</t>
  </si>
  <si>
    <t>H8 - DUCHA HIGIÊNICA CROMADA (DOCOL PRIMOR 00673206)</t>
  </si>
  <si>
    <t>H9 - DISPENSER PAPEL HIGIÊNICO INOX COM TAMPA (KITBRAS STANDER 010149)</t>
  </si>
  <si>
    <t>H10 - BARRA DE APOIO RETA EM AÇO INOX ESCOVADO (DOCOL BENEFITE 00963716) - C=80CM, HORIZONTAL</t>
  </si>
  <si>
    <t>H11 - BACIA SANITÁRIA PARA PCD EM LOUÇA BRANCA (CELITE ACESSO CONFORT) + CAIXA ACOPLADA DE ACIONAMENTO DUO (CELITE ECOFLUSH 3/6L) + ASSENTO PLÁSTICO SEM ABERTURA FRONTAL (CELITE CONFORT) + ENGATE PVC</t>
  </si>
  <si>
    <t>H12 - BARRA DE APOIO RETA EM AÇO INOX ESCOVADO (DOCOL BENEFITE 00963716) - C=70CM, VERTICAL</t>
  </si>
  <si>
    <t>H13 - BARRA DE APOIO U EM AÇO INOX ESCOVADO (DOCOL BENEFITE 00974916) - C=24X25CM</t>
  </si>
  <si>
    <t>H14 - LAVATÓRIO (DECA L.510.17 Aspen) + COLUNA SUSPENSA (DECA  C.510.17 Vogue Plus) + VÁLVULA + SIFÃO PVC</t>
  </si>
  <si>
    <t>H15 - BARRA DE APOIO RETA EM AÇO INOX ESCOVADO (DOCOL BENEFITE 00963316) - C=40CM, VERTICAL</t>
  </si>
  <si>
    <t>H18 - ACABAMENTO PARA REGISTRO DE PRESSÃO E REGISTRO GAVETA (1/2" E 3/4"), TIPO VOLANTE DE TRÊS PONTAS, CROMADO (DOCOL NOVA PERTUTTI)</t>
  </si>
  <si>
    <t>H19 - GRELHA E PORTA GRELHA EM AÇO INOX PARA RALO SIFONADO 150X150</t>
  </si>
  <si>
    <t>PISO</t>
  </si>
  <si>
    <t>Desconto de 7cm do rodapé</t>
  </si>
  <si>
    <t>áreas molhadas</t>
  </si>
  <si>
    <t>REMOÇÃO DE PORTAS</t>
  </si>
  <si>
    <t>Coluna de lavatório</t>
  </si>
  <si>
    <t>REMOÇÃO DE PINTURA</t>
  </si>
  <si>
    <t>RG</t>
  </si>
  <si>
    <t>CONTRAPISO - ÁREA MOLHADA Eméd=3CM</t>
  </si>
  <si>
    <t>Registros</t>
  </si>
  <si>
    <t>Considerado que martelete removerá também piso em granitina ou em vinílico</t>
  </si>
  <si>
    <t>IS masc.</t>
  </si>
  <si>
    <t>IS fem.</t>
  </si>
  <si>
    <t>[PISO 1] REVESTIMENTO CERÂMICO PORCELANATO NATURAL RETIFICADO CINZA 60X60CM (PORTOBELLO MINERAL TÉCNICA PORTLAND)</t>
  </si>
  <si>
    <t>REMOÇÃO DE SOLEIRAS</t>
  </si>
  <si>
    <t>P6 (80x210) - IS masc.</t>
  </si>
  <si>
    <t>IS Feminino</t>
  </si>
  <si>
    <t>IS Masculino</t>
  </si>
  <si>
    <t>P6 (80x210)</t>
  </si>
  <si>
    <t>REVESTIMENTO DECORATIVO - TETO</t>
  </si>
  <si>
    <t>[TETO 1] EMASSAMENTO + TINTA LÁTEX ACRÍLICA BRANCO FOSCO (CORAL)</t>
  </si>
  <si>
    <t>IS Masc.</t>
  </si>
  <si>
    <t>IS Fem.</t>
  </si>
  <si>
    <t>Requadro P6</t>
  </si>
  <si>
    <t>IS Masc. + IS Fem.</t>
  </si>
  <si>
    <t>Barra de apoio reta - 40cm</t>
  </si>
  <si>
    <t xml:space="preserve">Porta papel higiênico </t>
  </si>
  <si>
    <t>P (90x210)</t>
  </si>
  <si>
    <t>Teto</t>
  </si>
  <si>
    <t>Parede</t>
  </si>
  <si>
    <t>Sabonete Líquido</t>
  </si>
  <si>
    <t>CHAPISCO</t>
  </si>
  <si>
    <t>Paredes novas: TODAS.</t>
  </si>
  <si>
    <t>ALVENARIA</t>
  </si>
  <si>
    <t>ALVENARIA E = 9/14 CM</t>
  </si>
  <si>
    <t>Parte Externa</t>
  </si>
  <si>
    <t>Complemento para as portas</t>
  </si>
  <si>
    <t>Parede do corredor</t>
  </si>
  <si>
    <t>Vergas</t>
  </si>
  <si>
    <t>Abertura de vergas</t>
  </si>
  <si>
    <t>Remoção de tubulação</t>
  </si>
  <si>
    <t>Masc.</t>
  </si>
  <si>
    <t>Fem.</t>
  </si>
  <si>
    <t>Total</t>
  </si>
  <si>
    <t>OBS.:</t>
  </si>
  <si>
    <t>PVC soldável</t>
  </si>
  <si>
    <t>m</t>
  </si>
  <si>
    <t>+10%</t>
  </si>
  <si>
    <t>para considerar conexões</t>
  </si>
  <si>
    <t>Rasgo/chumbamento</t>
  </si>
  <si>
    <t>Conexões</t>
  </si>
  <si>
    <t>Var.</t>
  </si>
  <si>
    <t>A1</t>
  </si>
  <si>
    <t>25x3/4"</t>
  </si>
  <si>
    <t>jusante de RP e em ambos os lados de RG</t>
  </si>
  <si>
    <t>A2</t>
  </si>
  <si>
    <t>A3</t>
  </si>
  <si>
    <t>A4</t>
  </si>
  <si>
    <t>A6</t>
  </si>
  <si>
    <t>Válvulas</t>
  </si>
  <si>
    <t>R1</t>
  </si>
  <si>
    <t>base de RG</t>
  </si>
  <si>
    <t>3/4"</t>
  </si>
  <si>
    <t>Tubos</t>
  </si>
  <si>
    <t>Escavação e Reaterro de valas</t>
  </si>
  <si>
    <t>Vent.</t>
  </si>
  <si>
    <t>PVC Branco Normal</t>
  </si>
  <si>
    <t>Largura da vala</t>
  </si>
  <si>
    <t>Altura/profundidade da vala</t>
  </si>
  <si>
    <t>Comprimento de vala</t>
  </si>
  <si>
    <t>Volume de escavação/reaterro</t>
  </si>
  <si>
    <t>m³</t>
  </si>
  <si>
    <t>Área de preparo de vala</t>
  </si>
  <si>
    <t>Caixas e Ralos</t>
  </si>
  <si>
    <t>C1</t>
  </si>
  <si>
    <t>E1</t>
  </si>
  <si>
    <t>E2</t>
  </si>
  <si>
    <t>50x50</t>
  </si>
  <si>
    <t>E3</t>
  </si>
  <si>
    <t>E4</t>
  </si>
  <si>
    <t>E5</t>
  </si>
  <si>
    <t>E6</t>
  </si>
  <si>
    <t>J45° PVC Branco Normal</t>
  </si>
  <si>
    <t>E7</t>
  </si>
  <si>
    <t>E8</t>
  </si>
  <si>
    <t>E9</t>
  </si>
  <si>
    <t>J90° PVC Branco Normal (com anel)</t>
  </si>
  <si>
    <t>E10</t>
  </si>
  <si>
    <t>J90° PVC Branco Normal</t>
  </si>
  <si>
    <t>E11</t>
  </si>
  <si>
    <t>E12</t>
  </si>
  <si>
    <t>E13</t>
  </si>
  <si>
    <t>Junção 45° PVC Branco Normal</t>
  </si>
  <si>
    <t>100x50</t>
  </si>
  <si>
    <t>E14</t>
  </si>
  <si>
    <t>100x100</t>
  </si>
  <si>
    <t>E15</t>
  </si>
  <si>
    <t>E16</t>
  </si>
  <si>
    <t>Masculino</t>
  </si>
  <si>
    <t>Feminino</t>
  </si>
  <si>
    <t>E17</t>
  </si>
  <si>
    <t>Cabos</t>
  </si>
  <si>
    <t>Subtotal</t>
  </si>
  <si>
    <t>eletrodutos</t>
  </si>
  <si>
    <t>Circ. 1</t>
  </si>
  <si>
    <t>(F + N + T) IS masc. + IS fem. - Iluminação e força</t>
  </si>
  <si>
    <t>2,50mm²</t>
  </si>
  <si>
    <t>F1</t>
  </si>
  <si>
    <t>F2</t>
  </si>
  <si>
    <t>N1</t>
  </si>
  <si>
    <t>N2</t>
  </si>
  <si>
    <t>T1</t>
  </si>
  <si>
    <t>T2</t>
  </si>
  <si>
    <t>Eletrodutos</t>
  </si>
  <si>
    <t>EE1</t>
  </si>
  <si>
    <t>Eletroduto flexível corrugado, PVC amarelo</t>
  </si>
  <si>
    <t>25mm</t>
  </si>
  <si>
    <t>Materiais e componentes</t>
  </si>
  <si>
    <t>Caixa de luz de embutir, PVC amarelo</t>
  </si>
  <si>
    <t>Luminárias</t>
  </si>
  <si>
    <t>Interruptor simples + tomada 2P+T 10A 250V 4"x2"</t>
  </si>
  <si>
    <t>Luminária LED de parede 16W 5000K 1400lm</t>
  </si>
  <si>
    <t>4,6x13,5x60cm</t>
  </si>
  <si>
    <t>4" x 2"</t>
  </si>
  <si>
    <t>Re-a (IS masc)</t>
  </si>
  <si>
    <t>Re-b (IS fem)</t>
  </si>
  <si>
    <t>IL2</t>
  </si>
  <si>
    <t>Placa cega 4"x2"</t>
  </si>
  <si>
    <t>PROJETOS AS BUILT</t>
  </si>
  <si>
    <t>ARQUITETURA</t>
  </si>
  <si>
    <t>ELÉTRICO</t>
  </si>
  <si>
    <t>HIDROSSANITÁRIO</t>
  </si>
  <si>
    <t>J90° c/ bucha de latão PVC azul</t>
  </si>
  <si>
    <t>Adaptador bolsa e rosca PVC marrom</t>
  </si>
  <si>
    <t>J90° PVC marrom</t>
  </si>
  <si>
    <t>Luva PVC marrom</t>
  </si>
  <si>
    <t>Tê PVC marrom</t>
  </si>
  <si>
    <t>25x1/2"</t>
  </si>
  <si>
    <t>IS MASC.</t>
  </si>
  <si>
    <t>IS FEM.</t>
  </si>
  <si>
    <t>TUBOS</t>
  </si>
  <si>
    <t>TV PVC Branco Normal</t>
  </si>
  <si>
    <t>Tê PVC Branco Normal</t>
  </si>
  <si>
    <t>Adaptador de saída BS PVC Branco Normal</t>
  </si>
  <si>
    <t>Anel borracha</t>
  </si>
  <si>
    <t>Luva Simples PVC Branco Normal</t>
  </si>
  <si>
    <t>Redução Excêntrica PVC Branco Normal</t>
  </si>
  <si>
    <t>40mm</t>
  </si>
  <si>
    <t>V</t>
  </si>
  <si>
    <t>H</t>
  </si>
  <si>
    <t>40 mm</t>
  </si>
  <si>
    <t>50 mm</t>
  </si>
  <si>
    <t>100 mm</t>
  </si>
  <si>
    <t>150 mm</t>
  </si>
  <si>
    <t>50mm</t>
  </si>
  <si>
    <t>150mm</t>
  </si>
  <si>
    <t>100mm</t>
  </si>
  <si>
    <t>VENTILAÇÂO</t>
  </si>
  <si>
    <t>C2</t>
  </si>
  <si>
    <t>CS - 7 entradas, ralo quadrado</t>
  </si>
  <si>
    <t xml:space="preserve">150X150X50MM </t>
  </si>
  <si>
    <t>IS fem. + IS masc.</t>
  </si>
  <si>
    <t>P6</t>
  </si>
  <si>
    <t>VERGA PARA PORTAS (&lt; 1,5M)</t>
  </si>
  <si>
    <t>P6 (80X210) EM MADEIRA COM PINTURA ESMALTADA BANCO NEVE, COM BARRA VERTICAL DE 40CM EM AÇO INOX E COM CHAPA DE PROTEÇÃO ANTI-IMPACTO EM AÇO INOX</t>
  </si>
  <si>
    <t>Outros</t>
  </si>
  <si>
    <t>A (m2)</t>
  </si>
  <si>
    <t>vedação de furos com PU</t>
  </si>
  <si>
    <t>impermeabilização para os TVs (primer + manta)</t>
  </si>
  <si>
    <t>Corredor</t>
  </si>
  <si>
    <t>Verga</t>
  </si>
  <si>
    <t>empolamento</t>
  </si>
  <si>
    <t>km</t>
  </si>
  <si>
    <t>DN25mm</t>
  </si>
  <si>
    <t>1S + (2P+T)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</si>
</sst>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4" tint="-0.499984740745262"/>
      <name val="Arial"/>
      <family val="2"/>
    </font>
    <font>
      <b/>
      <sz val="10"/>
      <color theme="1"/>
      <name val="Calibri Light"/>
      <family val="2"/>
      <scheme val="major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  <font>
      <sz val="10"/>
      <color theme="4" tint="-0.499984740745262"/>
      <name val="Calibri Light"/>
      <family val="2"/>
      <scheme val="major"/>
    </font>
    <font>
      <b/>
      <sz val="10"/>
      <color theme="4" tint="-0.499984740745262"/>
      <name val="Calibri Light"/>
      <family val="2"/>
      <scheme val="major"/>
    </font>
    <font>
      <sz val="10"/>
      <color rgb="FFC00000"/>
      <name val="Calibri Light"/>
      <family val="2"/>
      <scheme val="major"/>
    </font>
    <font>
      <sz val="10"/>
      <color rgb="FF00B050"/>
      <name val="Calibri Light"/>
      <family val="2"/>
      <scheme val="major"/>
    </font>
    <font>
      <sz val="10"/>
      <color theme="1"/>
      <name val="Calibri Light"/>
      <family val="2"/>
      <scheme val="major"/>
    </font>
  </fonts>
  <fills count="24">
    <fill>
      <patternFill patternType="none"/>
    </fill>
    <fill>
      <patternFill patternType="gray125"/>
    </fill>
    <fill>
      <patternFill patternType="solid">
        <fgColor theme="8" tint="0.59999389629810485"/>
        <bgColor rgb="FFFFFFFF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FFFFF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rgb="FFFF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39997558519241921"/>
        <bgColor rgb="FFFFFFFF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rgb="FFFFFFFF"/>
      </patternFill>
    </fill>
  </fills>
  <borders count="8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 style="double">
        <color indexed="64"/>
      </bottom>
      <diagonal/>
    </border>
    <border>
      <left/>
      <right/>
      <top style="dotted">
        <color indexed="64"/>
      </top>
      <bottom style="double">
        <color indexed="64"/>
      </bottom>
      <diagonal/>
    </border>
    <border>
      <left/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/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17">
    <xf numFmtId="0" fontId="0" fillId="0" borderId="0" xfId="0"/>
    <xf numFmtId="3" fontId="4" fillId="7" borderId="7" xfId="0" applyNumberFormat="1" applyFont="1" applyFill="1" applyBorder="1" applyAlignment="1">
      <alignment horizontal="center" vertical="center"/>
    </xf>
    <xf numFmtId="2" fontId="0" fillId="8" borderId="8" xfId="0" applyNumberFormat="1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0" fillId="0" borderId="0" xfId="0" applyAlignment="1"/>
    <xf numFmtId="0" fontId="3" fillId="2" borderId="2" xfId="0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/>
    </xf>
    <xf numFmtId="2" fontId="0" fillId="4" borderId="8" xfId="0" applyNumberFormat="1" applyFill="1" applyBorder="1" applyAlignment="1">
      <alignment horizontal="center" vertical="center"/>
    </xf>
    <xf numFmtId="2" fontId="0" fillId="4" borderId="9" xfId="0" applyNumberFormat="1" applyFill="1" applyBorder="1" applyAlignment="1">
      <alignment horizontal="center" vertical="center"/>
    </xf>
    <xf numFmtId="2" fontId="2" fillId="5" borderId="8" xfId="0" applyNumberFormat="1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right" vertical="center"/>
    </xf>
    <xf numFmtId="0" fontId="0" fillId="8" borderId="10" xfId="0" applyFill="1" applyBorder="1" applyAlignment="1">
      <alignment horizontal="left" vertical="center"/>
    </xf>
    <xf numFmtId="0" fontId="0" fillId="0" borderId="0" xfId="0" applyAlignment="1">
      <alignment vertical="center"/>
    </xf>
    <xf numFmtId="0" fontId="3" fillId="13" borderId="1" xfId="0" applyFont="1" applyFill="1" applyBorder="1" applyAlignment="1">
      <alignment horizontal="left" vertical="center"/>
    </xf>
    <xf numFmtId="0" fontId="3" fillId="13" borderId="3" xfId="0" applyFont="1" applyFill="1" applyBorder="1" applyAlignment="1">
      <alignment horizontal="left" vertical="center"/>
    </xf>
    <xf numFmtId="0" fontId="3" fillId="13" borderId="3" xfId="0" applyFont="1" applyFill="1" applyBorder="1" applyAlignment="1">
      <alignment horizontal="center" vertical="center"/>
    </xf>
    <xf numFmtId="3" fontId="4" fillId="13" borderId="4" xfId="0" applyNumberFormat="1" applyFont="1" applyFill="1" applyBorder="1" applyAlignment="1">
      <alignment horizontal="center" vertical="center"/>
    </xf>
    <xf numFmtId="1" fontId="2" fillId="5" borderId="4" xfId="0" applyNumberFormat="1" applyFont="1" applyFill="1" applyBorder="1" applyAlignment="1">
      <alignment horizontal="center" vertical="center"/>
    </xf>
    <xf numFmtId="1" fontId="2" fillId="5" borderId="32" xfId="0" applyNumberFormat="1" applyFont="1" applyFill="1" applyBorder="1" applyAlignment="1">
      <alignment horizontal="center" vertical="center"/>
    </xf>
    <xf numFmtId="1" fontId="2" fillId="5" borderId="33" xfId="0" applyNumberFormat="1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left"/>
    </xf>
    <xf numFmtId="0" fontId="4" fillId="3" borderId="18" xfId="0" applyFont="1" applyFill="1" applyBorder="1" applyAlignment="1">
      <alignment horizontal="center"/>
    </xf>
    <xf numFmtId="3" fontId="4" fillId="3" borderId="19" xfId="0" applyNumberFormat="1" applyFont="1" applyFill="1" applyBorder="1" applyAlignment="1">
      <alignment horizontal="center"/>
    </xf>
    <xf numFmtId="2" fontId="0" fillId="4" borderId="19" xfId="0" applyNumberFormat="1" applyFont="1" applyFill="1" applyBorder="1" applyAlignment="1">
      <alignment horizontal="center"/>
    </xf>
    <xf numFmtId="2" fontId="0" fillId="4" borderId="34" xfId="0" applyNumberFormat="1" applyFont="1" applyFill="1" applyBorder="1" applyAlignment="1">
      <alignment horizontal="center"/>
    </xf>
    <xf numFmtId="2" fontId="0" fillId="14" borderId="35" xfId="0" applyNumberFormat="1" applyFont="1" applyFill="1" applyBorder="1" applyAlignment="1">
      <alignment horizontal="center"/>
    </xf>
    <xf numFmtId="49" fontId="0" fillId="15" borderId="16" xfId="0" applyNumberFormat="1" applyFont="1" applyFill="1" applyBorder="1" applyAlignment="1">
      <alignment horizontal="center"/>
    </xf>
    <xf numFmtId="49" fontId="0" fillId="15" borderId="33" xfId="0" applyNumberFormat="1" applyFont="1" applyFill="1" applyBorder="1" applyAlignment="1">
      <alignment vertical="center"/>
    </xf>
    <xf numFmtId="0" fontId="0" fillId="0" borderId="0" xfId="0" applyAlignment="1">
      <alignment horizontal="left"/>
    </xf>
    <xf numFmtId="1" fontId="2" fillId="5" borderId="2" xfId="0" applyNumberFormat="1" applyFont="1" applyFill="1" applyBorder="1" applyAlignment="1">
      <alignment horizontal="center" vertical="center"/>
    </xf>
    <xf numFmtId="1" fontId="2" fillId="5" borderId="5" xfId="0" applyNumberFormat="1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3" fontId="4" fillId="3" borderId="9" xfId="0" applyNumberFormat="1" applyFont="1" applyFill="1" applyBorder="1" applyAlignment="1">
      <alignment horizontal="center"/>
    </xf>
    <xf numFmtId="1" fontId="0" fillId="4" borderId="37" xfId="0" applyNumberFormat="1" applyFont="1" applyFill="1" applyBorder="1" applyAlignment="1">
      <alignment horizontal="center"/>
    </xf>
    <xf numFmtId="1" fontId="0" fillId="14" borderId="38" xfId="0" applyNumberFormat="1" applyFont="1" applyFill="1" applyBorder="1" applyAlignment="1">
      <alignment horizontal="center"/>
    </xf>
    <xf numFmtId="1" fontId="0" fillId="4" borderId="7" xfId="0" applyNumberFormat="1" applyFont="1" applyFill="1" applyBorder="1" applyAlignment="1">
      <alignment horizontal="center"/>
    </xf>
    <xf numFmtId="9" fontId="0" fillId="4" borderId="39" xfId="1" applyNumberFormat="1" applyFont="1" applyFill="1" applyBorder="1" applyAlignment="1">
      <alignment horizontal="center"/>
    </xf>
    <xf numFmtId="1" fontId="0" fillId="15" borderId="10" xfId="0" applyNumberFormat="1" applyFont="1" applyFill="1" applyBorder="1" applyAlignment="1">
      <alignment horizontal="left"/>
    </xf>
    <xf numFmtId="0" fontId="4" fillId="7" borderId="6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left"/>
    </xf>
    <xf numFmtId="0" fontId="4" fillId="7" borderId="8" xfId="0" applyFont="1" applyFill="1" applyBorder="1" applyAlignment="1">
      <alignment horizontal="center"/>
    </xf>
    <xf numFmtId="3" fontId="4" fillId="7" borderId="9" xfId="0" applyNumberFormat="1" applyFont="1" applyFill="1" applyBorder="1" applyAlignment="1">
      <alignment horizontal="center"/>
    </xf>
    <xf numFmtId="1" fontId="0" fillId="8" borderId="37" xfId="0" applyNumberFormat="1" applyFont="1" applyFill="1" applyBorder="1" applyAlignment="1">
      <alignment horizontal="center"/>
    </xf>
    <xf numFmtId="1" fontId="0" fillId="16" borderId="38" xfId="0" applyNumberFormat="1" applyFont="1" applyFill="1" applyBorder="1" applyAlignment="1">
      <alignment horizontal="center"/>
    </xf>
    <xf numFmtId="1" fontId="0" fillId="8" borderId="7" xfId="0" applyNumberFormat="1" applyFont="1" applyFill="1" applyBorder="1" applyAlignment="1">
      <alignment horizontal="center"/>
    </xf>
    <xf numFmtId="9" fontId="0" fillId="8" borderId="39" xfId="1" applyNumberFormat="1" applyFont="1" applyFill="1" applyBorder="1" applyAlignment="1">
      <alignment horizontal="center"/>
    </xf>
    <xf numFmtId="2" fontId="0" fillId="4" borderId="17" xfId="0" applyNumberFormat="1" applyFont="1" applyFill="1" applyBorder="1" applyAlignment="1">
      <alignment horizontal="center"/>
    </xf>
    <xf numFmtId="10" fontId="0" fillId="4" borderId="40" xfId="1" applyNumberFormat="1" applyFont="1" applyFill="1" applyBorder="1" applyAlignment="1">
      <alignment horizontal="center"/>
    </xf>
    <xf numFmtId="1" fontId="0" fillId="15" borderId="20" xfId="0" applyNumberFormat="1" applyFont="1" applyFill="1" applyBorder="1" applyAlignment="1">
      <alignment horizontal="left"/>
    </xf>
    <xf numFmtId="9" fontId="0" fillId="0" borderId="0" xfId="0" applyNumberFormat="1"/>
    <xf numFmtId="9" fontId="0" fillId="0" borderId="0" xfId="1" applyFont="1"/>
    <xf numFmtId="2" fontId="0" fillId="4" borderId="37" xfId="0" applyNumberFormat="1" applyFont="1" applyFill="1" applyBorder="1" applyAlignment="1">
      <alignment horizontal="center"/>
    </xf>
    <xf numFmtId="2" fontId="0" fillId="14" borderId="38" xfId="0" applyNumberFormat="1" applyFont="1" applyFill="1" applyBorder="1" applyAlignment="1">
      <alignment horizontal="center"/>
    </xf>
    <xf numFmtId="2" fontId="0" fillId="8" borderId="37" xfId="0" applyNumberFormat="1" applyFont="1" applyFill="1" applyBorder="1" applyAlignment="1">
      <alignment horizontal="center"/>
    </xf>
    <xf numFmtId="0" fontId="4" fillId="7" borderId="18" xfId="0" applyFont="1" applyFill="1" applyBorder="1" applyAlignment="1">
      <alignment horizontal="center"/>
    </xf>
    <xf numFmtId="2" fontId="0" fillId="8" borderId="34" xfId="0" applyNumberFormat="1" applyFont="1" applyFill="1" applyBorder="1" applyAlignment="1">
      <alignment horizontal="center"/>
    </xf>
    <xf numFmtId="1" fontId="0" fillId="4" borderId="34" xfId="0" applyNumberFormat="1" applyFont="1" applyFill="1" applyBorder="1" applyAlignment="1">
      <alignment horizontal="center"/>
    </xf>
    <xf numFmtId="1" fontId="0" fillId="14" borderId="35" xfId="0" applyNumberFormat="1" applyFont="1" applyFill="1" applyBorder="1" applyAlignment="1">
      <alignment horizontal="center"/>
    </xf>
    <xf numFmtId="1" fontId="0" fillId="4" borderId="17" xfId="0" applyNumberFormat="1" applyFont="1" applyFill="1" applyBorder="1" applyAlignment="1">
      <alignment horizontal="center"/>
    </xf>
    <xf numFmtId="2" fontId="0" fillId="4" borderId="7" xfId="0" applyNumberFormat="1" applyFont="1" applyFill="1" applyBorder="1" applyAlignment="1">
      <alignment horizontal="center"/>
    </xf>
    <xf numFmtId="2" fontId="0" fillId="8" borderId="7" xfId="0" applyNumberFormat="1" applyFont="1" applyFill="1" applyBorder="1" applyAlignment="1">
      <alignment horizontal="center"/>
    </xf>
    <xf numFmtId="1" fontId="2" fillId="5" borderId="33" xfId="0" applyNumberFormat="1" applyFont="1" applyFill="1" applyBorder="1" applyAlignment="1">
      <alignment horizontal="center" vertical="center"/>
    </xf>
    <xf numFmtId="1" fontId="2" fillId="5" borderId="53" xfId="0" applyNumberFormat="1" applyFont="1" applyFill="1" applyBorder="1" applyAlignment="1">
      <alignment horizontal="center" vertical="center"/>
    </xf>
    <xf numFmtId="0" fontId="4" fillId="3" borderId="21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left"/>
    </xf>
    <xf numFmtId="0" fontId="4" fillId="3" borderId="22" xfId="0" applyFont="1" applyFill="1" applyBorder="1" applyAlignment="1">
      <alignment horizontal="center" vertical="center"/>
    </xf>
    <xf numFmtId="3" fontId="4" fillId="3" borderId="23" xfId="0" applyNumberFormat="1" applyFont="1" applyFill="1" applyBorder="1" applyAlignment="1">
      <alignment horizontal="center"/>
    </xf>
    <xf numFmtId="2" fontId="0" fillId="4" borderId="54" xfId="0" applyNumberFormat="1" applyFont="1" applyFill="1" applyBorder="1" applyAlignment="1">
      <alignment horizontal="center"/>
    </xf>
    <xf numFmtId="2" fontId="0" fillId="14" borderId="55" xfId="0" applyNumberFormat="1" applyFont="1" applyFill="1" applyBorder="1" applyAlignment="1">
      <alignment horizontal="center"/>
    </xf>
    <xf numFmtId="2" fontId="0" fillId="14" borderId="56" xfId="0" applyNumberFormat="1" applyFont="1" applyFill="1" applyBorder="1" applyAlignment="1">
      <alignment horizontal="center"/>
    </xf>
    <xf numFmtId="2" fontId="0" fillId="4" borderId="55" xfId="0" applyNumberFormat="1" applyFont="1" applyFill="1" applyBorder="1" applyAlignment="1">
      <alignment horizontal="center"/>
    </xf>
    <xf numFmtId="9" fontId="0" fillId="4" borderId="56" xfId="1" applyNumberFormat="1" applyFont="1" applyFill="1" applyBorder="1" applyAlignment="1">
      <alignment horizontal="center"/>
    </xf>
    <xf numFmtId="49" fontId="0" fillId="15" borderId="10" xfId="0" applyNumberFormat="1" applyFont="1" applyFill="1" applyBorder="1" applyAlignment="1">
      <alignment horizontal="left"/>
    </xf>
    <xf numFmtId="2" fontId="0" fillId="12" borderId="37" xfId="0" applyNumberFormat="1" applyFont="1" applyFill="1" applyBorder="1" applyAlignment="1">
      <alignment horizontal="center"/>
    </xf>
    <xf numFmtId="2" fontId="0" fillId="21" borderId="37" xfId="0" applyNumberFormat="1" applyFont="1" applyFill="1" applyBorder="1" applyAlignment="1">
      <alignment horizontal="center"/>
    </xf>
    <xf numFmtId="2" fontId="0" fillId="8" borderId="57" xfId="0" applyNumberFormat="1" applyFont="1" applyFill="1" applyBorder="1" applyAlignment="1">
      <alignment horizontal="center"/>
    </xf>
    <xf numFmtId="2" fontId="0" fillId="22" borderId="37" xfId="0" applyNumberFormat="1" applyFont="1" applyFill="1" applyBorder="1" applyAlignment="1">
      <alignment horizontal="center"/>
    </xf>
    <xf numFmtId="2" fontId="0" fillId="16" borderId="7" xfId="0" applyNumberFormat="1" applyFont="1" applyFill="1" applyBorder="1" applyAlignment="1">
      <alignment horizontal="center"/>
    </xf>
    <xf numFmtId="2" fontId="0" fillId="16" borderId="39" xfId="0" applyNumberFormat="1" applyFont="1" applyFill="1" applyBorder="1" applyAlignment="1">
      <alignment horizontal="center"/>
    </xf>
    <xf numFmtId="0" fontId="4" fillId="7" borderId="41" xfId="0" applyFont="1" applyFill="1" applyBorder="1" applyAlignment="1">
      <alignment horizontal="center" vertical="center"/>
    </xf>
    <xf numFmtId="0" fontId="4" fillId="7" borderId="42" xfId="0" applyFont="1" applyFill="1" applyBorder="1" applyAlignment="1">
      <alignment horizontal="left"/>
    </xf>
    <xf numFmtId="0" fontId="4" fillId="7" borderId="42" xfId="0" applyFont="1" applyFill="1" applyBorder="1" applyAlignment="1">
      <alignment horizontal="center"/>
    </xf>
    <xf numFmtId="2" fontId="0" fillId="16" borderId="58" xfId="0" applyNumberFormat="1" applyFont="1" applyFill="1" applyBorder="1" applyAlignment="1">
      <alignment horizontal="center"/>
    </xf>
    <xf numFmtId="2" fontId="0" fillId="16" borderId="59" xfId="0" applyNumberFormat="1" applyFont="1" applyFill="1" applyBorder="1" applyAlignment="1">
      <alignment horizontal="center"/>
    </xf>
    <xf numFmtId="1" fontId="0" fillId="8" borderId="60" xfId="0" applyNumberFormat="1" applyFont="1" applyFill="1" applyBorder="1" applyAlignment="1">
      <alignment horizontal="center"/>
    </xf>
    <xf numFmtId="1" fontId="0" fillId="8" borderId="61" xfId="0" applyNumberFormat="1" applyFont="1" applyFill="1" applyBorder="1" applyAlignment="1">
      <alignment horizontal="center"/>
    </xf>
    <xf numFmtId="9" fontId="0" fillId="8" borderId="62" xfId="1" applyNumberFormat="1" applyFont="1" applyFill="1" applyBorder="1" applyAlignment="1">
      <alignment horizontal="center"/>
    </xf>
    <xf numFmtId="2" fontId="0" fillId="14" borderId="7" xfId="0" applyNumberFormat="1" applyFont="1" applyFill="1" applyBorder="1" applyAlignment="1">
      <alignment horizontal="center"/>
    </xf>
    <xf numFmtId="2" fontId="0" fillId="14" borderId="39" xfId="0" applyNumberFormat="1" applyFont="1" applyFill="1" applyBorder="1" applyAlignment="1">
      <alignment horizontal="center"/>
    </xf>
    <xf numFmtId="2" fontId="0" fillId="14" borderId="58" xfId="0" applyNumberFormat="1" applyFont="1" applyFill="1" applyBorder="1" applyAlignment="1">
      <alignment horizontal="center"/>
    </xf>
    <xf numFmtId="2" fontId="0" fillId="14" borderId="59" xfId="0" applyNumberFormat="1" applyFont="1" applyFill="1" applyBorder="1" applyAlignment="1">
      <alignment horizontal="center"/>
    </xf>
    <xf numFmtId="1" fontId="0" fillId="8" borderId="58" xfId="0" applyNumberFormat="1" applyFont="1" applyFill="1" applyBorder="1" applyAlignment="1">
      <alignment horizontal="center"/>
    </xf>
    <xf numFmtId="1" fontId="0" fillId="8" borderId="44" xfId="0" applyNumberFormat="1" applyFont="1" applyFill="1" applyBorder="1" applyAlignment="1">
      <alignment horizontal="center"/>
    </xf>
    <xf numFmtId="9" fontId="0" fillId="8" borderId="59" xfId="1" applyNumberFormat="1" applyFont="1" applyFill="1" applyBorder="1" applyAlignment="1">
      <alignment horizontal="center"/>
    </xf>
    <xf numFmtId="10" fontId="0" fillId="4" borderId="39" xfId="1" applyNumberFormat="1" applyFont="1" applyFill="1" applyBorder="1" applyAlignment="1">
      <alignment horizontal="right"/>
    </xf>
    <xf numFmtId="0" fontId="4" fillId="7" borderId="16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left"/>
    </xf>
    <xf numFmtId="2" fontId="0" fillId="21" borderId="34" xfId="0" applyNumberFormat="1" applyFont="1" applyFill="1" applyBorder="1" applyAlignment="1">
      <alignment horizontal="center"/>
    </xf>
    <xf numFmtId="2" fontId="0" fillId="14" borderId="30" xfId="0" applyNumberFormat="1" applyFont="1" applyFill="1" applyBorder="1" applyAlignment="1">
      <alignment horizontal="center"/>
    </xf>
    <xf numFmtId="2" fontId="0" fillId="14" borderId="63" xfId="0" applyNumberFormat="1" applyFont="1" applyFill="1" applyBorder="1" applyAlignment="1">
      <alignment horizontal="center"/>
    </xf>
    <xf numFmtId="1" fontId="0" fillId="8" borderId="17" xfId="0" applyNumberFormat="1" applyFont="1" applyFill="1" applyBorder="1" applyAlignment="1">
      <alignment horizontal="center"/>
    </xf>
    <xf numFmtId="1" fontId="0" fillId="8" borderId="34" xfId="0" applyNumberFormat="1" applyFont="1" applyFill="1" applyBorder="1" applyAlignment="1">
      <alignment horizontal="center"/>
    </xf>
    <xf numFmtId="9" fontId="0" fillId="8" borderId="40" xfId="1" applyNumberFormat="1" applyFont="1" applyFill="1" applyBorder="1" applyAlignment="1">
      <alignment horizontal="center"/>
    </xf>
    <xf numFmtId="10" fontId="0" fillId="8" borderId="39" xfId="1" applyNumberFormat="1" applyFont="1" applyFill="1" applyBorder="1" applyAlignment="1">
      <alignment horizontal="right"/>
    </xf>
    <xf numFmtId="2" fontId="0" fillId="8" borderId="2" xfId="0" applyNumberFormat="1" applyFont="1" applyFill="1" applyBorder="1" applyAlignment="1">
      <alignment horizontal="center"/>
    </xf>
    <xf numFmtId="2" fontId="0" fillId="8" borderId="32" xfId="0" applyNumberFormat="1" applyFont="1" applyFill="1" applyBorder="1" applyAlignment="1">
      <alignment horizontal="center"/>
    </xf>
    <xf numFmtId="9" fontId="0" fillId="8" borderId="53" xfId="1" applyNumberFormat="1" applyFont="1" applyFill="1" applyBorder="1" applyAlignment="1">
      <alignment horizontal="center"/>
    </xf>
    <xf numFmtId="3" fontId="4" fillId="3" borderId="54" xfId="0" applyNumberFormat="1" applyFont="1" applyFill="1" applyBorder="1" applyAlignment="1">
      <alignment horizontal="center"/>
    </xf>
    <xf numFmtId="3" fontId="4" fillId="7" borderId="37" xfId="0" applyNumberFormat="1" applyFont="1" applyFill="1" applyBorder="1" applyAlignment="1">
      <alignment horizontal="center"/>
    </xf>
    <xf numFmtId="3" fontId="4" fillId="7" borderId="44" xfId="0" applyNumberFormat="1" applyFont="1" applyFill="1" applyBorder="1" applyAlignment="1">
      <alignment horizontal="center"/>
    </xf>
    <xf numFmtId="3" fontId="4" fillId="7" borderId="34" xfId="0" applyNumberFormat="1" applyFont="1" applyFill="1" applyBorder="1" applyAlignment="1">
      <alignment horizontal="center"/>
    </xf>
    <xf numFmtId="0" fontId="4" fillId="7" borderId="64" xfId="0" applyFont="1" applyFill="1" applyBorder="1" applyAlignment="1">
      <alignment horizontal="center" vertical="center"/>
    </xf>
    <xf numFmtId="0" fontId="4" fillId="7" borderId="0" xfId="0" applyFont="1" applyFill="1" applyBorder="1" applyAlignment="1">
      <alignment horizontal="left"/>
    </xf>
    <xf numFmtId="0" fontId="4" fillId="7" borderId="0" xfId="0" applyFont="1" applyFill="1" applyBorder="1" applyAlignment="1">
      <alignment horizontal="center"/>
    </xf>
    <xf numFmtId="3" fontId="4" fillId="7" borderId="65" xfId="0" applyNumberFormat="1" applyFont="1" applyFill="1" applyBorder="1" applyAlignment="1">
      <alignment horizontal="center"/>
    </xf>
    <xf numFmtId="2" fontId="0" fillId="16" borderId="66" xfId="0" applyNumberFormat="1" applyFont="1" applyFill="1" applyBorder="1" applyAlignment="1">
      <alignment horizontal="center"/>
    </xf>
    <xf numFmtId="2" fontId="0" fillId="16" borderId="67" xfId="0" applyNumberFormat="1" applyFont="1" applyFill="1" applyBorder="1" applyAlignment="1">
      <alignment horizontal="center"/>
    </xf>
    <xf numFmtId="2" fontId="0" fillId="8" borderId="68" xfId="0" applyNumberFormat="1" applyFont="1" applyFill="1" applyBorder="1" applyAlignment="1">
      <alignment horizontal="center"/>
    </xf>
    <xf numFmtId="2" fontId="0" fillId="21" borderId="68" xfId="0" applyNumberFormat="1" applyFont="1" applyFill="1" applyBorder="1" applyAlignment="1">
      <alignment horizontal="center"/>
    </xf>
    <xf numFmtId="2" fontId="0" fillId="22" borderId="68" xfId="0" applyNumberFormat="1" applyFont="1" applyFill="1" applyBorder="1" applyAlignment="1">
      <alignment horizontal="center"/>
    </xf>
    <xf numFmtId="2" fontId="0" fillId="8" borderId="27" xfId="0" applyNumberFormat="1" applyFont="1" applyFill="1" applyBorder="1" applyAlignment="1">
      <alignment horizontal="center"/>
    </xf>
    <xf numFmtId="2" fontId="0" fillId="8" borderId="61" xfId="0" applyNumberFormat="1" applyFont="1" applyFill="1" applyBorder="1" applyAlignment="1">
      <alignment horizontal="center"/>
    </xf>
    <xf numFmtId="2" fontId="0" fillId="22" borderId="51" xfId="0" applyNumberFormat="1" applyFont="1" applyFill="1" applyBorder="1" applyAlignment="1">
      <alignment horizontal="center"/>
    </xf>
    <xf numFmtId="2" fontId="0" fillId="12" borderId="34" xfId="0" applyNumberFormat="1" applyFont="1" applyFill="1" applyBorder="1" applyAlignment="1">
      <alignment horizontal="center"/>
    </xf>
    <xf numFmtId="2" fontId="0" fillId="8" borderId="44" xfId="0" applyNumberFormat="1" applyFont="1" applyFill="1" applyBorder="1" applyAlignment="1">
      <alignment horizontal="center"/>
    </xf>
    <xf numFmtId="2" fontId="0" fillId="22" borderId="44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5" fillId="7" borderId="29" xfId="0" applyFont="1" applyFill="1" applyBorder="1" applyAlignment="1">
      <alignment horizontal="right" vertical="center"/>
    </xf>
    <xf numFmtId="3" fontId="4" fillId="7" borderId="30" xfId="0" applyNumberFormat="1" applyFont="1" applyFill="1" applyBorder="1" applyAlignment="1">
      <alignment horizontal="center" vertical="center"/>
    </xf>
    <xf numFmtId="2" fontId="0" fillId="8" borderId="26" xfId="0" applyNumberFormat="1" applyFill="1" applyBorder="1" applyAlignment="1">
      <alignment horizontal="center" vertical="center"/>
    </xf>
    <xf numFmtId="0" fontId="0" fillId="8" borderId="26" xfId="0" applyFill="1" applyBorder="1" applyAlignment="1">
      <alignment horizontal="center" vertical="center"/>
    </xf>
    <xf numFmtId="0" fontId="0" fillId="8" borderId="25" xfId="0" applyFill="1" applyBorder="1" applyAlignment="1">
      <alignment horizontal="center" vertical="center"/>
    </xf>
    <xf numFmtId="2" fontId="0" fillId="8" borderId="18" xfId="0" applyNumberFormat="1" applyFill="1" applyBorder="1" applyAlignment="1">
      <alignment horizontal="center" vertical="center"/>
    </xf>
    <xf numFmtId="0" fontId="0" fillId="8" borderId="31" xfId="0" applyFill="1" applyBorder="1" applyAlignment="1">
      <alignment horizontal="left" vertical="center"/>
    </xf>
    <xf numFmtId="0" fontId="5" fillId="7" borderId="69" xfId="0" applyFont="1" applyFill="1" applyBorder="1" applyAlignment="1">
      <alignment horizontal="right" vertical="center"/>
    </xf>
    <xf numFmtId="3" fontId="4" fillId="7" borderId="70" xfId="0" applyNumberFormat="1" applyFont="1" applyFill="1" applyBorder="1" applyAlignment="1">
      <alignment horizontal="center" vertical="center"/>
    </xf>
    <xf numFmtId="2" fontId="0" fillId="8" borderId="71" xfId="0" applyNumberFormat="1" applyFill="1" applyBorder="1" applyAlignment="1">
      <alignment horizontal="center" vertical="center"/>
    </xf>
    <xf numFmtId="0" fontId="0" fillId="8" borderId="71" xfId="0" applyFill="1" applyBorder="1" applyAlignment="1">
      <alignment horizontal="center" vertical="center"/>
    </xf>
    <xf numFmtId="0" fontId="0" fillId="8" borderId="72" xfId="0" applyFill="1" applyBorder="1" applyAlignment="1">
      <alignment horizontal="center" vertical="center"/>
    </xf>
    <xf numFmtId="0" fontId="0" fillId="8" borderId="73" xfId="0" applyFill="1" applyBorder="1" applyAlignment="1">
      <alignment horizontal="left" vertical="center"/>
    </xf>
    <xf numFmtId="2" fontId="0" fillId="8" borderId="74" xfId="0" applyNumberFormat="1" applyFill="1" applyBorder="1" applyAlignment="1">
      <alignment horizontal="center" vertical="center"/>
    </xf>
    <xf numFmtId="0" fontId="3" fillId="3" borderId="21" xfId="0" applyFont="1" applyFill="1" applyBorder="1" applyAlignment="1">
      <alignment vertical="center"/>
    </xf>
    <xf numFmtId="4" fontId="4" fillId="3" borderId="55" xfId="0" applyNumberFormat="1" applyFont="1" applyFill="1" applyBorder="1" applyAlignment="1">
      <alignment horizontal="center" vertical="center"/>
    </xf>
    <xf numFmtId="2" fontId="0" fillId="4" borderId="28" xfId="0" applyNumberFormat="1" applyFont="1" applyFill="1" applyBorder="1" applyAlignment="1">
      <alignment horizontal="center" vertical="center"/>
    </xf>
    <xf numFmtId="2" fontId="0" fillId="4" borderId="22" xfId="0" applyNumberFormat="1" applyFill="1" applyBorder="1" applyAlignment="1">
      <alignment horizontal="center" vertical="center"/>
    </xf>
    <xf numFmtId="2" fontId="0" fillId="4" borderId="23" xfId="0" applyNumberForma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0" fillId="4" borderId="24" xfId="0" applyNumberFormat="1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center" vertical="center"/>
    </xf>
    <xf numFmtId="2" fontId="0" fillId="4" borderId="57" xfId="0" applyNumberFormat="1" applyFont="1" applyFill="1" applyBorder="1" applyAlignment="1">
      <alignment horizontal="center" vertical="center"/>
    </xf>
    <xf numFmtId="2" fontId="0" fillId="4" borderId="10" xfId="0" applyNumberFormat="1" applyFill="1" applyBorder="1" applyAlignment="1">
      <alignment horizontal="left" vertical="center"/>
    </xf>
    <xf numFmtId="0" fontId="4" fillId="7" borderId="7" xfId="0" applyFont="1" applyFill="1" applyBorder="1" applyAlignment="1">
      <alignment horizontal="center" vertical="center"/>
    </xf>
    <xf numFmtId="165" fontId="0" fillId="8" borderId="37" xfId="0" applyNumberFormat="1" applyFont="1" applyFill="1" applyBorder="1" applyAlignment="1">
      <alignment horizontal="center"/>
    </xf>
    <xf numFmtId="0" fontId="3" fillId="7" borderId="7" xfId="0" applyFont="1" applyFill="1" applyBorder="1" applyAlignment="1">
      <alignment horizontal="center" vertical="center"/>
    </xf>
    <xf numFmtId="0" fontId="3" fillId="13" borderId="33" xfId="0" applyFont="1" applyFill="1" applyBorder="1" applyAlignment="1">
      <alignment horizontal="center" vertical="center"/>
    </xf>
    <xf numFmtId="165" fontId="0" fillId="8" borderId="39" xfId="0" applyNumberFormat="1" applyFont="1" applyFill="1" applyBorder="1" applyAlignment="1">
      <alignment horizontal="center"/>
    </xf>
    <xf numFmtId="0" fontId="4" fillId="7" borderId="30" xfId="0" applyFont="1" applyFill="1" applyBorder="1" applyAlignment="1">
      <alignment horizontal="center" vertical="center"/>
    </xf>
    <xf numFmtId="3" fontId="4" fillId="7" borderId="51" xfId="0" applyNumberFormat="1" applyFont="1" applyFill="1" applyBorder="1" applyAlignment="1">
      <alignment horizontal="center"/>
    </xf>
    <xf numFmtId="0" fontId="3" fillId="13" borderId="1" xfId="0" applyFont="1" applyFill="1" applyBorder="1" applyAlignment="1">
      <alignment horizontal="center" vertical="center"/>
    </xf>
    <xf numFmtId="0" fontId="3" fillId="7" borderId="58" xfId="0" applyFont="1" applyFill="1" applyBorder="1" applyAlignment="1">
      <alignment horizontal="center" vertical="center"/>
    </xf>
    <xf numFmtId="165" fontId="0" fillId="8" borderId="44" xfId="0" applyNumberFormat="1" applyFont="1" applyFill="1" applyBorder="1" applyAlignment="1">
      <alignment horizontal="center"/>
    </xf>
    <xf numFmtId="165" fontId="0" fillId="8" borderId="59" xfId="0" applyNumberFormat="1" applyFont="1" applyFill="1" applyBorder="1" applyAlignment="1">
      <alignment horizontal="center"/>
    </xf>
    <xf numFmtId="0" fontId="3" fillId="17" borderId="7" xfId="0" applyFont="1" applyFill="1" applyBorder="1" applyAlignment="1">
      <alignment horizontal="center" vertical="center"/>
    </xf>
    <xf numFmtId="165" fontId="0" fillId="18" borderId="37" xfId="0" applyNumberFormat="1" applyFont="1" applyFill="1" applyBorder="1" applyAlignment="1">
      <alignment horizontal="center"/>
    </xf>
    <xf numFmtId="165" fontId="0" fillId="18" borderId="39" xfId="0" applyNumberFormat="1" applyFont="1" applyFill="1" applyBorder="1" applyAlignment="1">
      <alignment horizontal="center"/>
    </xf>
    <xf numFmtId="2" fontId="0" fillId="18" borderId="39" xfId="0" applyNumberFormat="1" applyFont="1" applyFill="1" applyBorder="1" applyAlignment="1">
      <alignment horizontal="center"/>
    </xf>
    <xf numFmtId="2" fontId="0" fillId="8" borderId="39" xfId="0" applyNumberFormat="1" applyFont="1" applyFill="1" applyBorder="1" applyAlignment="1">
      <alignment horizontal="center"/>
    </xf>
    <xf numFmtId="2" fontId="0" fillId="8" borderId="59" xfId="0" applyNumberFormat="1" applyFont="1" applyFill="1" applyBorder="1" applyAlignment="1">
      <alignment horizontal="center"/>
    </xf>
    <xf numFmtId="2" fontId="0" fillId="8" borderId="63" xfId="0" applyNumberFormat="1" applyFont="1" applyFill="1" applyBorder="1" applyAlignment="1">
      <alignment horizontal="center"/>
    </xf>
    <xf numFmtId="0" fontId="4" fillId="23" borderId="55" xfId="0" applyFont="1" applyFill="1" applyBorder="1" applyAlignment="1">
      <alignment horizontal="center" vertical="center"/>
    </xf>
    <xf numFmtId="3" fontId="4" fillId="23" borderId="54" xfId="0" applyNumberFormat="1" applyFont="1" applyFill="1" applyBorder="1" applyAlignment="1">
      <alignment horizontal="center"/>
    </xf>
    <xf numFmtId="3" fontId="4" fillId="23" borderId="23" xfId="0" applyNumberFormat="1" applyFont="1" applyFill="1" applyBorder="1" applyAlignment="1">
      <alignment horizontal="center"/>
    </xf>
    <xf numFmtId="2" fontId="0" fillId="14" borderId="54" xfId="0" applyNumberFormat="1" applyFont="1" applyFill="1" applyBorder="1" applyAlignment="1">
      <alignment horizontal="center"/>
    </xf>
    <xf numFmtId="165" fontId="0" fillId="8" borderId="34" xfId="0" applyNumberFormat="1" applyFont="1" applyFill="1" applyBorder="1" applyAlignment="1">
      <alignment horizontal="center"/>
    </xf>
    <xf numFmtId="165" fontId="0" fillId="8" borderId="40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vertical="center"/>
    </xf>
    <xf numFmtId="0" fontId="7" fillId="2" borderId="2" xfId="0" applyFont="1" applyFill="1" applyBorder="1" applyAlignment="1">
      <alignment horizontal="center" vertical="center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4" xfId="0" applyNumberFormat="1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/>
    </xf>
    <xf numFmtId="4" fontId="7" fillId="2" borderId="1" xfId="0" applyNumberFormat="1" applyFont="1" applyFill="1" applyBorder="1" applyAlignment="1">
      <alignment horizontal="center" vertical="center"/>
    </xf>
    <xf numFmtId="0" fontId="7" fillId="3" borderId="6" xfId="0" applyFont="1" applyFill="1" applyBorder="1" applyAlignment="1">
      <alignment vertical="center"/>
    </xf>
    <xf numFmtId="3" fontId="8" fillId="3" borderId="7" xfId="0" applyNumberFormat="1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right" vertical="center"/>
    </xf>
    <xf numFmtId="3" fontId="8" fillId="7" borderId="7" xfId="0" applyNumberFormat="1" applyFont="1" applyFill="1" applyBorder="1" applyAlignment="1">
      <alignment horizontal="center" vertical="center"/>
    </xf>
    <xf numFmtId="0" fontId="9" fillId="7" borderId="6" xfId="0" applyFont="1" applyFill="1" applyBorder="1" applyAlignment="1">
      <alignment horizontal="right" vertical="center" wrapText="1"/>
    </xf>
    <xf numFmtId="3" fontId="8" fillId="7" borderId="7" xfId="0" applyNumberFormat="1" applyFont="1" applyFill="1" applyBorder="1" applyAlignment="1">
      <alignment horizontal="center" vertical="center" wrapText="1"/>
    </xf>
    <xf numFmtId="3" fontId="7" fillId="7" borderId="7" xfId="0" applyNumberFormat="1" applyFont="1" applyFill="1" applyBorder="1" applyAlignment="1">
      <alignment horizontal="center" vertical="center"/>
    </xf>
    <xf numFmtId="0" fontId="7" fillId="11" borderId="6" xfId="0" applyFont="1" applyFill="1" applyBorder="1" applyAlignment="1">
      <alignment horizontal="right" vertical="center"/>
    </xf>
    <xf numFmtId="3" fontId="8" fillId="11" borderId="7" xfId="0" applyNumberFormat="1" applyFont="1" applyFill="1" applyBorder="1" applyAlignment="1">
      <alignment horizontal="center" vertical="center"/>
    </xf>
    <xf numFmtId="0" fontId="9" fillId="7" borderId="10" xfId="0" applyFont="1" applyFill="1" applyBorder="1" applyAlignment="1">
      <alignment horizontal="right" vertical="center" wrapText="1"/>
    </xf>
    <xf numFmtId="3" fontId="8" fillId="7" borderId="9" xfId="0" applyNumberFormat="1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right" vertical="center" wrapText="1"/>
    </xf>
    <xf numFmtId="3" fontId="8" fillId="7" borderId="14" xfId="0" applyNumberFormat="1" applyFont="1" applyFill="1" applyBorder="1" applyAlignment="1">
      <alignment horizontal="center" vertical="center" wrapText="1"/>
    </xf>
    <xf numFmtId="0" fontId="11" fillId="9" borderId="10" xfId="0" applyFont="1" applyFill="1" applyBorder="1" applyAlignment="1">
      <alignment horizontal="right" vertical="center" wrapText="1"/>
    </xf>
    <xf numFmtId="3" fontId="8" fillId="9" borderId="9" xfId="0" applyNumberFormat="1" applyFont="1" applyFill="1" applyBorder="1" applyAlignment="1">
      <alignment horizontal="center" vertical="center" wrapText="1"/>
    </xf>
    <xf numFmtId="0" fontId="12" fillId="7" borderId="10" xfId="0" applyFont="1" applyFill="1" applyBorder="1" applyAlignment="1">
      <alignment horizontal="right" vertical="center" wrapText="1"/>
    </xf>
    <xf numFmtId="0" fontId="6" fillId="3" borderId="11" xfId="0" applyFont="1" applyFill="1" applyBorder="1" applyAlignment="1">
      <alignment vertical="center"/>
    </xf>
    <xf numFmtId="3" fontId="8" fillId="3" borderId="12" xfId="0" applyNumberFormat="1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vertical="center"/>
    </xf>
    <xf numFmtId="3" fontId="8" fillId="3" borderId="17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0" fontId="7" fillId="2" borderId="2" xfId="0" applyFont="1" applyFill="1" applyBorder="1" applyAlignment="1">
      <alignment horizontal="center" vertical="center" wrapText="1"/>
    </xf>
    <xf numFmtId="4" fontId="7" fillId="2" borderId="3" xfId="0" applyNumberFormat="1" applyFont="1" applyFill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vertical="center" wrapText="1"/>
    </xf>
    <xf numFmtId="3" fontId="8" fillId="3" borderId="7" xfId="0" applyNumberFormat="1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vertical="center" wrapText="1"/>
    </xf>
    <xf numFmtId="3" fontId="8" fillId="3" borderId="9" xfId="0" applyNumberFormat="1" applyFont="1" applyFill="1" applyBorder="1" applyAlignment="1">
      <alignment horizontal="center" vertical="center" wrapText="1"/>
    </xf>
    <xf numFmtId="0" fontId="9" fillId="7" borderId="20" xfId="0" applyFont="1" applyFill="1" applyBorder="1" applyAlignment="1">
      <alignment horizontal="right" vertical="center" wrapText="1"/>
    </xf>
    <xf numFmtId="3" fontId="8" fillId="7" borderId="19" xfId="0" applyNumberFormat="1" applyFont="1" applyFill="1" applyBorder="1" applyAlignment="1">
      <alignment horizontal="center" vertical="center" wrapText="1"/>
    </xf>
    <xf numFmtId="0" fontId="10" fillId="7" borderId="20" xfId="0" applyFont="1" applyFill="1" applyBorder="1" applyAlignment="1">
      <alignment horizontal="right" vertical="center" wrapText="1"/>
    </xf>
    <xf numFmtId="3" fontId="8" fillId="7" borderId="25" xfId="0" applyNumberFormat="1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left" vertical="center" wrapText="1"/>
    </xf>
    <xf numFmtId="0" fontId="11" fillId="9" borderId="20" xfId="0" applyFont="1" applyFill="1" applyBorder="1" applyAlignment="1">
      <alignment horizontal="right" vertical="center" wrapText="1"/>
    </xf>
    <xf numFmtId="3" fontId="8" fillId="9" borderId="19" xfId="0" applyNumberFormat="1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wrapText="1"/>
    </xf>
    <xf numFmtId="4" fontId="8" fillId="3" borderId="7" xfId="0" applyNumberFormat="1" applyFont="1" applyFill="1" applyBorder="1" applyAlignment="1">
      <alignment horizontal="center" vertical="center" wrapText="1"/>
    </xf>
    <xf numFmtId="9" fontId="9" fillId="7" borderId="6" xfId="0" applyNumberFormat="1" applyFont="1" applyFill="1" applyBorder="1" applyAlignment="1">
      <alignment horizontal="right" vertical="center" wrapText="1"/>
    </xf>
    <xf numFmtId="4" fontId="8" fillId="7" borderId="7" xfId="0" applyNumberFormat="1" applyFont="1" applyFill="1" applyBorder="1" applyAlignment="1">
      <alignment horizontal="center" vertical="center" wrapText="1"/>
    </xf>
    <xf numFmtId="9" fontId="9" fillId="7" borderId="29" xfId="0" applyNumberFormat="1" applyFont="1" applyFill="1" applyBorder="1" applyAlignment="1">
      <alignment horizontal="right" vertical="center" wrapText="1"/>
    </xf>
    <xf numFmtId="4" fontId="8" fillId="7" borderId="30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vertical="center" wrapText="1"/>
    </xf>
    <xf numFmtId="4" fontId="8" fillId="3" borderId="23" xfId="0" applyNumberFormat="1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vertical="center" wrapText="1"/>
    </xf>
    <xf numFmtId="0" fontId="9" fillId="7" borderId="16" xfId="0" applyFont="1" applyFill="1" applyBorder="1" applyAlignment="1">
      <alignment horizontal="right" vertical="center" wrapText="1"/>
    </xf>
    <xf numFmtId="3" fontId="8" fillId="7" borderId="17" xfId="0" applyNumberFormat="1" applyFont="1" applyFill="1" applyBorder="1" applyAlignment="1">
      <alignment horizontal="center" vertical="center" wrapText="1"/>
    </xf>
    <xf numFmtId="0" fontId="9" fillId="7" borderId="11" xfId="0" applyFont="1" applyFill="1" applyBorder="1" applyAlignment="1">
      <alignment horizontal="right" vertical="center" wrapText="1"/>
    </xf>
    <xf numFmtId="3" fontId="8" fillId="7" borderId="12" xfId="0" applyNumberFormat="1" applyFont="1" applyFill="1" applyBorder="1" applyAlignment="1">
      <alignment horizontal="center" vertical="center" wrapText="1"/>
    </xf>
    <xf numFmtId="0" fontId="10" fillId="7" borderId="6" xfId="0" applyFont="1" applyFill="1" applyBorder="1" applyAlignment="1">
      <alignment horizontal="left" vertical="center" wrapText="1"/>
    </xf>
    <xf numFmtId="0" fontId="13" fillId="0" borderId="0" xfId="0" applyFont="1" applyAlignment="1"/>
    <xf numFmtId="0" fontId="13" fillId="0" borderId="0" xfId="0" applyFont="1"/>
    <xf numFmtId="2" fontId="13" fillId="4" borderId="8" xfId="0" applyNumberFormat="1" applyFont="1" applyFill="1" applyBorder="1" applyAlignment="1">
      <alignment horizontal="center" vertical="center"/>
    </xf>
    <xf numFmtId="1" fontId="6" fillId="5" borderId="9" xfId="0" applyNumberFormat="1" applyFont="1" applyFill="1" applyBorder="1" applyAlignment="1">
      <alignment horizontal="center" vertical="center"/>
    </xf>
    <xf numFmtId="2" fontId="6" fillId="6" borderId="8" xfId="0" applyNumberFormat="1" applyFont="1" applyFill="1" applyBorder="1" applyAlignment="1">
      <alignment horizontal="center" vertical="center"/>
    </xf>
    <xf numFmtId="0" fontId="13" fillId="4" borderId="10" xfId="0" applyFont="1" applyFill="1" applyBorder="1" applyAlignment="1">
      <alignment horizontal="left" vertical="center"/>
    </xf>
    <xf numFmtId="1" fontId="13" fillId="4" borderId="6" xfId="0" applyNumberFormat="1" applyFont="1" applyFill="1" applyBorder="1" applyAlignment="1">
      <alignment horizontal="center" vertical="center"/>
    </xf>
    <xf numFmtId="1" fontId="13" fillId="4" borderId="8" xfId="0" applyNumberFormat="1" applyFont="1" applyFill="1" applyBorder="1" applyAlignment="1">
      <alignment horizontal="center" vertical="center"/>
    </xf>
    <xf numFmtId="9" fontId="13" fillId="4" borderId="38" xfId="1" applyFont="1" applyFill="1" applyBorder="1" applyAlignment="1">
      <alignment horizontal="center" vertical="center"/>
    </xf>
    <xf numFmtId="2" fontId="13" fillId="8" borderId="8" xfId="0" applyNumberFormat="1" applyFont="1" applyFill="1" applyBorder="1" applyAlignment="1">
      <alignment horizontal="center" vertical="center"/>
    </xf>
    <xf numFmtId="0" fontId="13" fillId="8" borderId="9" xfId="0" applyFont="1" applyFill="1" applyBorder="1" applyAlignment="1">
      <alignment horizontal="center" vertical="center"/>
    </xf>
    <xf numFmtId="0" fontId="13" fillId="8" borderId="8" xfId="0" applyFont="1" applyFill="1" applyBorder="1" applyAlignment="1">
      <alignment horizontal="center" vertical="center"/>
    </xf>
    <xf numFmtId="0" fontId="13" fillId="8" borderId="10" xfId="0" applyFont="1" applyFill="1" applyBorder="1" applyAlignment="1">
      <alignment horizontal="left" vertical="center"/>
    </xf>
    <xf numFmtId="2" fontId="13" fillId="8" borderId="6" xfId="0" applyNumberFormat="1" applyFont="1" applyFill="1" applyBorder="1" applyAlignment="1">
      <alignment horizontal="center" vertical="center"/>
    </xf>
    <xf numFmtId="164" fontId="13" fillId="8" borderId="8" xfId="0" applyNumberFormat="1" applyFont="1" applyFill="1" applyBorder="1" applyAlignment="1">
      <alignment horizontal="center" vertical="center"/>
    </xf>
    <xf numFmtId="9" fontId="13" fillId="8" borderId="38" xfId="1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1" fontId="13" fillId="4" borderId="9" xfId="0" applyNumberFormat="1" applyFont="1" applyFill="1" applyBorder="1" applyAlignment="1">
      <alignment horizontal="center" vertical="center"/>
    </xf>
    <xf numFmtId="2" fontId="6" fillId="5" borderId="8" xfId="0" applyNumberFormat="1" applyFont="1" applyFill="1" applyBorder="1" applyAlignment="1">
      <alignment horizontal="center" vertical="center"/>
    </xf>
    <xf numFmtId="1" fontId="13" fillId="8" borderId="9" xfId="0" applyNumberFormat="1" applyFont="1" applyFill="1" applyBorder="1" applyAlignment="1">
      <alignment horizontal="center" vertical="center"/>
    </xf>
    <xf numFmtId="1" fontId="13" fillId="8" borderId="6" xfId="0" applyNumberFormat="1" applyFont="1" applyFill="1" applyBorder="1" applyAlignment="1">
      <alignment horizontal="center" vertical="center"/>
    </xf>
    <xf numFmtId="1" fontId="13" fillId="8" borderId="8" xfId="0" applyNumberFormat="1" applyFont="1" applyFill="1" applyBorder="1" applyAlignment="1">
      <alignment horizontal="center" vertical="center"/>
    </xf>
    <xf numFmtId="2" fontId="13" fillId="8" borderId="8" xfId="0" applyNumberFormat="1" applyFont="1" applyFill="1" applyBorder="1" applyAlignment="1">
      <alignment horizontal="center" vertical="center" wrapText="1"/>
    </xf>
    <xf numFmtId="1" fontId="13" fillId="8" borderId="9" xfId="0" applyNumberFormat="1" applyFont="1" applyFill="1" applyBorder="1" applyAlignment="1">
      <alignment horizontal="center" vertical="center" wrapText="1"/>
    </xf>
    <xf numFmtId="0" fontId="13" fillId="8" borderId="8" xfId="0" applyFont="1" applyFill="1" applyBorder="1" applyAlignment="1">
      <alignment horizontal="center" vertical="center" wrapText="1"/>
    </xf>
    <xf numFmtId="2" fontId="13" fillId="4" borderId="9" xfId="0" applyNumberFormat="1" applyFont="1" applyFill="1" applyBorder="1" applyAlignment="1">
      <alignment horizontal="center" vertical="center"/>
    </xf>
    <xf numFmtId="2" fontId="13" fillId="4" borderId="6" xfId="0" applyNumberFormat="1" applyFont="1" applyFill="1" applyBorder="1" applyAlignment="1">
      <alignment horizontal="center" vertical="center"/>
    </xf>
    <xf numFmtId="164" fontId="13" fillId="4" borderId="8" xfId="0" applyNumberFormat="1" applyFont="1" applyFill="1" applyBorder="1" applyAlignment="1">
      <alignment horizontal="center" vertical="center"/>
    </xf>
    <xf numFmtId="0" fontId="6" fillId="8" borderId="10" xfId="0" applyFont="1" applyFill="1" applyBorder="1" applyAlignment="1">
      <alignment horizontal="left" vertical="center"/>
    </xf>
    <xf numFmtId="0" fontId="6" fillId="0" borderId="0" xfId="0" applyFont="1"/>
    <xf numFmtId="2" fontId="6" fillId="8" borderId="6" xfId="0" applyNumberFormat="1" applyFont="1" applyFill="1" applyBorder="1" applyAlignment="1">
      <alignment horizontal="center" vertical="center"/>
    </xf>
    <xf numFmtId="164" fontId="6" fillId="8" borderId="8" xfId="0" applyNumberFormat="1" applyFont="1" applyFill="1" applyBorder="1" applyAlignment="1">
      <alignment horizontal="center" vertical="center"/>
    </xf>
    <xf numFmtId="9" fontId="6" fillId="8" borderId="38" xfId="1" applyFont="1" applyFill="1" applyBorder="1" applyAlignment="1">
      <alignment horizontal="center" vertical="center"/>
    </xf>
    <xf numFmtId="2" fontId="13" fillId="12" borderId="8" xfId="0" applyNumberFormat="1" applyFont="1" applyFill="1" applyBorder="1" applyAlignment="1">
      <alignment horizontal="center" vertical="center"/>
    </xf>
    <xf numFmtId="2" fontId="13" fillId="12" borderId="9" xfId="0" applyNumberFormat="1" applyFont="1" applyFill="1" applyBorder="1" applyAlignment="1">
      <alignment horizontal="center" vertical="center"/>
    </xf>
    <xf numFmtId="0" fontId="13" fillId="12" borderId="8" xfId="0" applyFont="1" applyFill="1" applyBorder="1" applyAlignment="1">
      <alignment horizontal="center" vertical="center"/>
    </xf>
    <xf numFmtId="0" fontId="13" fillId="12" borderId="10" xfId="0" applyFont="1" applyFill="1" applyBorder="1" applyAlignment="1">
      <alignment horizontal="left" vertical="center" wrapText="1"/>
    </xf>
    <xf numFmtId="0" fontId="13" fillId="12" borderId="0" xfId="0" applyFont="1" applyFill="1"/>
    <xf numFmtId="2" fontId="13" fillId="12" borderId="6" xfId="0" applyNumberFormat="1" applyFont="1" applyFill="1" applyBorder="1" applyAlignment="1">
      <alignment horizontal="center" vertical="center"/>
    </xf>
    <xf numFmtId="164" fontId="13" fillId="12" borderId="8" xfId="0" applyNumberFormat="1" applyFont="1" applyFill="1" applyBorder="1" applyAlignment="1">
      <alignment horizontal="center" vertical="center"/>
    </xf>
    <xf numFmtId="9" fontId="13" fillId="12" borderId="38" xfId="1" applyFont="1" applyFill="1" applyBorder="1" applyAlignment="1">
      <alignment horizontal="center" vertical="center"/>
    </xf>
    <xf numFmtId="164" fontId="13" fillId="8" borderId="8" xfId="0" applyNumberFormat="1" applyFont="1" applyFill="1" applyBorder="1" applyAlignment="1">
      <alignment horizontal="center" vertical="center" wrapText="1"/>
    </xf>
    <xf numFmtId="2" fontId="13" fillId="8" borderId="9" xfId="0" applyNumberFormat="1" applyFont="1" applyFill="1" applyBorder="1" applyAlignment="1">
      <alignment horizontal="center" vertical="center" wrapText="1"/>
    </xf>
    <xf numFmtId="0" fontId="13" fillId="8" borderId="10" xfId="0" applyFont="1" applyFill="1" applyBorder="1" applyAlignment="1">
      <alignment horizontal="left" vertical="center" wrapText="1"/>
    </xf>
    <xf numFmtId="2" fontId="13" fillId="8" borderId="13" xfId="0" applyNumberFormat="1" applyFont="1" applyFill="1" applyBorder="1" applyAlignment="1">
      <alignment horizontal="center" vertical="center" wrapText="1"/>
    </xf>
    <xf numFmtId="164" fontId="13" fillId="8" borderId="13" xfId="0" applyNumberFormat="1" applyFont="1" applyFill="1" applyBorder="1" applyAlignment="1">
      <alignment horizontal="center" vertical="center" wrapText="1"/>
    </xf>
    <xf numFmtId="2" fontId="13" fillId="10" borderId="8" xfId="0" applyNumberFormat="1" applyFont="1" applyFill="1" applyBorder="1" applyAlignment="1">
      <alignment horizontal="center" vertical="center" wrapText="1"/>
    </xf>
    <xf numFmtId="164" fontId="13" fillId="10" borderId="8" xfId="0" applyNumberFormat="1" applyFont="1" applyFill="1" applyBorder="1" applyAlignment="1">
      <alignment horizontal="center" vertical="center" wrapText="1"/>
    </xf>
    <xf numFmtId="0" fontId="13" fillId="10" borderId="8" xfId="0" applyFont="1" applyFill="1" applyBorder="1" applyAlignment="1">
      <alignment horizontal="center" vertical="center" wrapText="1"/>
    </xf>
    <xf numFmtId="1" fontId="13" fillId="10" borderId="9" xfId="0" applyNumberFormat="1" applyFont="1" applyFill="1" applyBorder="1" applyAlignment="1">
      <alignment horizontal="center" vertical="center" wrapText="1"/>
    </xf>
    <xf numFmtId="2" fontId="11" fillId="10" borderId="8" xfId="0" applyNumberFormat="1" applyFont="1" applyFill="1" applyBorder="1" applyAlignment="1">
      <alignment horizontal="center" vertical="center" wrapText="1"/>
    </xf>
    <xf numFmtId="0" fontId="13" fillId="10" borderId="10" xfId="0" applyFont="1" applyFill="1" applyBorder="1" applyAlignment="1">
      <alignment horizontal="left" vertical="center" wrapText="1"/>
    </xf>
    <xf numFmtId="0" fontId="13" fillId="4" borderId="10" xfId="0" applyFont="1" applyFill="1" applyBorder="1" applyAlignment="1">
      <alignment horizontal="left" vertical="center" wrapText="1"/>
    </xf>
    <xf numFmtId="2" fontId="13" fillId="8" borderId="9" xfId="0" applyNumberFormat="1" applyFont="1" applyFill="1" applyBorder="1" applyAlignment="1">
      <alignment horizontal="center" vertical="center"/>
    </xf>
    <xf numFmtId="2" fontId="8" fillId="4" borderId="13" xfId="0" applyNumberFormat="1" applyFont="1" applyFill="1" applyBorder="1" applyAlignment="1">
      <alignment horizontal="center" vertical="center"/>
    </xf>
    <xf numFmtId="9" fontId="8" fillId="4" borderId="13" xfId="1" applyFont="1" applyFill="1" applyBorder="1" applyAlignment="1">
      <alignment horizontal="center" vertical="center"/>
    </xf>
    <xf numFmtId="2" fontId="8" fillId="4" borderId="13" xfId="0" applyNumberFormat="1" applyFont="1" applyFill="1" applyBorder="1" applyAlignment="1">
      <alignment horizontal="left" vertical="center" indent="1"/>
    </xf>
    <xf numFmtId="2" fontId="8" fillId="4" borderId="14" xfId="0" applyNumberFormat="1" applyFont="1" applyFill="1" applyBorder="1" applyAlignment="1">
      <alignment horizontal="center" vertical="center"/>
    </xf>
    <xf numFmtId="0" fontId="8" fillId="4" borderId="13" xfId="0" applyFont="1" applyFill="1" applyBorder="1" applyAlignment="1">
      <alignment horizontal="center" vertical="center"/>
    </xf>
    <xf numFmtId="2" fontId="6" fillId="6" borderId="13" xfId="0" applyNumberFormat="1" applyFont="1" applyFill="1" applyBorder="1" applyAlignment="1">
      <alignment horizontal="center" vertical="center"/>
    </xf>
    <xf numFmtId="0" fontId="8" fillId="4" borderId="15" xfId="0" applyFont="1" applyFill="1" applyBorder="1" applyAlignment="1">
      <alignment horizontal="left" vertical="center"/>
    </xf>
    <xf numFmtId="2" fontId="8" fillId="4" borderId="18" xfId="0" applyNumberFormat="1" applyFont="1" applyFill="1" applyBorder="1" applyAlignment="1">
      <alignment horizontal="center" vertical="center"/>
    </xf>
    <xf numFmtId="2" fontId="8" fillId="4" borderId="18" xfId="0" applyNumberFormat="1" applyFont="1" applyFill="1" applyBorder="1" applyAlignment="1">
      <alignment horizontal="left" vertical="center" indent="1"/>
    </xf>
    <xf numFmtId="2" fontId="8" fillId="4" borderId="19" xfId="0" applyNumberFormat="1" applyFont="1" applyFill="1" applyBorder="1" applyAlignment="1">
      <alignment horizontal="center" vertical="center"/>
    </xf>
    <xf numFmtId="0" fontId="8" fillId="4" borderId="18" xfId="0" applyFont="1" applyFill="1" applyBorder="1" applyAlignment="1">
      <alignment horizontal="center" vertical="center"/>
    </xf>
    <xf numFmtId="2" fontId="6" fillId="6" borderId="18" xfId="0" applyNumberFormat="1" applyFont="1" applyFill="1" applyBorder="1" applyAlignment="1">
      <alignment horizontal="center" vertical="center"/>
    </xf>
    <xf numFmtId="0" fontId="8" fillId="4" borderId="20" xfId="0" applyFont="1" applyFill="1" applyBorder="1" applyAlignment="1">
      <alignment horizontal="left" vertical="center"/>
    </xf>
    <xf numFmtId="2" fontId="13" fillId="4" borderId="16" xfId="0" applyNumberFormat="1" applyFont="1" applyFill="1" applyBorder="1" applyAlignment="1">
      <alignment horizontal="center" vertical="center"/>
    </xf>
    <xf numFmtId="164" fontId="13" fillId="4" borderId="18" xfId="0" applyNumberFormat="1" applyFont="1" applyFill="1" applyBorder="1" applyAlignment="1">
      <alignment horizontal="center" vertical="center"/>
    </xf>
    <xf numFmtId="9" fontId="13" fillId="4" borderId="35" xfId="1" applyFont="1" applyFill="1" applyBorder="1" applyAlignment="1">
      <alignment horizontal="center" vertical="center"/>
    </xf>
    <xf numFmtId="2" fontId="13" fillId="4" borderId="8" xfId="0" applyNumberFormat="1" applyFont="1" applyFill="1" applyBorder="1" applyAlignment="1">
      <alignment horizontal="center" vertical="center" wrapText="1"/>
    </xf>
    <xf numFmtId="2" fontId="13" fillId="4" borderId="9" xfId="0" applyNumberFormat="1" applyFont="1" applyFill="1" applyBorder="1" applyAlignment="1">
      <alignment horizontal="center" vertical="center" wrapText="1"/>
    </xf>
    <xf numFmtId="2" fontId="6" fillId="5" borderId="13" xfId="0" applyNumberFormat="1" applyFont="1" applyFill="1" applyBorder="1" applyAlignment="1">
      <alignment horizontal="center" vertical="center" wrapText="1"/>
    </xf>
    <xf numFmtId="164" fontId="13" fillId="4" borderId="8" xfId="0" applyNumberFormat="1" applyFont="1" applyFill="1" applyBorder="1" applyAlignment="1">
      <alignment horizontal="center" vertical="center" wrapText="1"/>
    </xf>
    <xf numFmtId="2" fontId="13" fillId="4" borderId="21" xfId="0" applyNumberFormat="1" applyFont="1" applyFill="1" applyBorder="1" applyAlignment="1">
      <alignment horizontal="center" vertical="center"/>
    </xf>
    <xf numFmtId="164" fontId="13" fillId="4" borderId="22" xfId="0" applyNumberFormat="1" applyFont="1" applyFill="1" applyBorder="1" applyAlignment="1">
      <alignment horizontal="center" vertical="center"/>
    </xf>
    <xf numFmtId="9" fontId="13" fillId="4" borderId="76" xfId="1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 wrapText="1"/>
    </xf>
    <xf numFmtId="2" fontId="6" fillId="5" borderId="8" xfId="0" applyNumberFormat="1" applyFont="1" applyFill="1" applyBorder="1" applyAlignment="1">
      <alignment horizontal="center" vertical="center" wrapText="1"/>
    </xf>
    <xf numFmtId="2" fontId="13" fillId="8" borderId="18" xfId="0" applyNumberFormat="1" applyFont="1" applyFill="1" applyBorder="1" applyAlignment="1">
      <alignment horizontal="center" vertical="center"/>
    </xf>
    <xf numFmtId="0" fontId="13" fillId="8" borderId="18" xfId="0" applyFont="1" applyFill="1" applyBorder="1" applyAlignment="1">
      <alignment horizontal="center" vertical="center" wrapText="1"/>
    </xf>
    <xf numFmtId="2" fontId="13" fillId="8" borderId="18" xfId="0" applyNumberFormat="1" applyFont="1" applyFill="1" applyBorder="1" applyAlignment="1">
      <alignment horizontal="center" vertical="center" wrapText="1"/>
    </xf>
    <xf numFmtId="1" fontId="13" fillId="8" borderId="19" xfId="0" applyNumberFormat="1" applyFont="1" applyFill="1" applyBorder="1" applyAlignment="1">
      <alignment horizontal="center" vertical="center" wrapText="1"/>
    </xf>
    <xf numFmtId="164" fontId="13" fillId="8" borderId="18" xfId="0" applyNumberFormat="1" applyFont="1" applyFill="1" applyBorder="1" applyAlignment="1">
      <alignment horizontal="center" vertical="center" wrapText="1"/>
    </xf>
    <xf numFmtId="0" fontId="13" fillId="8" borderId="20" xfId="0" applyFont="1" applyFill="1" applyBorder="1" applyAlignment="1">
      <alignment horizontal="left" vertical="center" wrapText="1"/>
    </xf>
    <xf numFmtId="2" fontId="13" fillId="8" borderId="16" xfId="0" applyNumberFormat="1" applyFont="1" applyFill="1" applyBorder="1" applyAlignment="1">
      <alignment horizontal="center" vertical="center"/>
    </xf>
    <xf numFmtId="164" fontId="13" fillId="8" borderId="18" xfId="0" applyNumberFormat="1" applyFont="1" applyFill="1" applyBorder="1" applyAlignment="1">
      <alignment horizontal="center" vertical="center"/>
    </xf>
    <xf numFmtId="9" fontId="13" fillId="8" borderId="35" xfId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2" fontId="13" fillId="8" borderId="26" xfId="0" applyNumberFormat="1" applyFont="1" applyFill="1" applyBorder="1" applyAlignment="1">
      <alignment horizontal="center" vertical="center" wrapText="1"/>
    </xf>
    <xf numFmtId="2" fontId="13" fillId="8" borderId="19" xfId="0" applyNumberFormat="1" applyFont="1" applyFill="1" applyBorder="1" applyAlignment="1">
      <alignment horizontal="center" vertical="center" wrapText="1"/>
    </xf>
    <xf numFmtId="4" fontId="13" fillId="8" borderId="35" xfId="1" applyNumberFormat="1" applyFont="1" applyFill="1" applyBorder="1" applyAlignment="1">
      <alignment horizontal="center" vertical="center"/>
    </xf>
    <xf numFmtId="4" fontId="13" fillId="8" borderId="38" xfId="1" applyNumberFormat="1" applyFont="1" applyFill="1" applyBorder="1" applyAlignment="1">
      <alignment horizontal="center" vertical="center"/>
    </xf>
    <xf numFmtId="2" fontId="13" fillId="10" borderId="18" xfId="0" applyNumberFormat="1" applyFont="1" applyFill="1" applyBorder="1" applyAlignment="1">
      <alignment horizontal="center" vertical="center" wrapText="1"/>
    </xf>
    <xf numFmtId="0" fontId="13" fillId="10" borderId="18" xfId="0" applyFont="1" applyFill="1" applyBorder="1" applyAlignment="1">
      <alignment horizontal="center" vertical="center" wrapText="1"/>
    </xf>
    <xf numFmtId="1" fontId="13" fillId="10" borderId="19" xfId="0" applyNumberFormat="1" applyFont="1" applyFill="1" applyBorder="1" applyAlignment="1">
      <alignment horizontal="center" vertical="center" wrapText="1"/>
    </xf>
    <xf numFmtId="2" fontId="11" fillId="10" borderId="18" xfId="0" applyNumberFormat="1" applyFont="1" applyFill="1" applyBorder="1" applyAlignment="1">
      <alignment horizontal="center" vertical="center" wrapText="1"/>
    </xf>
    <xf numFmtId="0" fontId="13" fillId="10" borderId="20" xfId="0" applyFont="1" applyFill="1" applyBorder="1" applyAlignment="1">
      <alignment horizontal="left" vertical="center" wrapText="1"/>
    </xf>
    <xf numFmtId="2" fontId="13" fillId="8" borderId="25" xfId="0" applyNumberFormat="1" applyFont="1" applyFill="1" applyBorder="1" applyAlignment="1">
      <alignment horizontal="center" vertical="center" wrapText="1"/>
    </xf>
    <xf numFmtId="164" fontId="13" fillId="8" borderId="26" xfId="0" applyNumberFormat="1" applyFont="1" applyFill="1" applyBorder="1" applyAlignment="1">
      <alignment horizontal="center" vertical="center" wrapText="1"/>
    </xf>
    <xf numFmtId="0" fontId="13" fillId="8" borderId="31" xfId="0" applyFont="1" applyFill="1" applyBorder="1" applyAlignment="1">
      <alignment horizontal="left" vertical="center" wrapText="1"/>
    </xf>
    <xf numFmtId="2" fontId="13" fillId="4" borderId="22" xfId="0" applyNumberFormat="1" applyFont="1" applyFill="1" applyBorder="1" applyAlignment="1">
      <alignment horizontal="center" vertical="center" wrapText="1"/>
    </xf>
    <xf numFmtId="0" fontId="13" fillId="0" borderId="16" xfId="0" applyFont="1" applyBorder="1"/>
    <xf numFmtId="0" fontId="13" fillId="0" borderId="18" xfId="0" applyFont="1" applyBorder="1"/>
    <xf numFmtId="0" fontId="13" fillId="0" borderId="35" xfId="0" applyFont="1" applyBorder="1"/>
    <xf numFmtId="2" fontId="13" fillId="4" borderId="28" xfId="0" applyNumberFormat="1" applyFont="1" applyFill="1" applyBorder="1" applyAlignment="1">
      <alignment horizontal="center" vertical="center" wrapText="1"/>
    </xf>
    <xf numFmtId="1" fontId="6" fillId="5" borderId="23" xfId="0" applyNumberFormat="1" applyFont="1" applyFill="1" applyBorder="1" applyAlignment="1">
      <alignment horizontal="center" vertical="center" wrapText="1"/>
    </xf>
    <xf numFmtId="2" fontId="13" fillId="4" borderId="15" xfId="0" applyNumberFormat="1" applyFont="1" applyFill="1" applyBorder="1" applyAlignment="1">
      <alignment horizontal="left" vertical="center" wrapText="1"/>
    </xf>
    <xf numFmtId="1" fontId="13" fillId="4" borderId="21" xfId="0" applyNumberFormat="1" applyFont="1" applyFill="1" applyBorder="1" applyAlignment="1">
      <alignment horizontal="center" vertical="center"/>
    </xf>
    <xf numFmtId="1" fontId="13" fillId="4" borderId="22" xfId="0" applyNumberFormat="1" applyFont="1" applyFill="1" applyBorder="1" applyAlignment="1">
      <alignment horizontal="center" vertical="center"/>
    </xf>
    <xf numFmtId="1" fontId="6" fillId="5" borderId="14" xfId="0" applyNumberFormat="1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left" vertical="center" wrapText="1"/>
    </xf>
    <xf numFmtId="1" fontId="13" fillId="8" borderId="14" xfId="0" applyNumberFormat="1" applyFont="1" applyFill="1" applyBorder="1" applyAlignment="1">
      <alignment horizontal="center" vertical="center" wrapText="1"/>
    </xf>
    <xf numFmtId="0" fontId="13" fillId="8" borderId="13" xfId="0" applyFont="1" applyFill="1" applyBorder="1" applyAlignment="1">
      <alignment horizontal="center" vertical="center" wrapText="1"/>
    </xf>
    <xf numFmtId="0" fontId="13" fillId="8" borderId="15" xfId="0" applyFont="1" applyFill="1" applyBorder="1" applyAlignment="1">
      <alignment horizontal="left" vertical="center" wrapText="1"/>
    </xf>
    <xf numFmtId="1" fontId="8" fillId="8" borderId="14" xfId="0" applyNumberFormat="1" applyFont="1" applyFill="1" applyBorder="1" applyAlignment="1">
      <alignment horizontal="center" vertical="center" wrapText="1"/>
    </xf>
    <xf numFmtId="1" fontId="13" fillId="8" borderId="25" xfId="0" applyNumberFormat="1" applyFont="1" applyFill="1" applyBorder="1" applyAlignment="1">
      <alignment horizontal="center" vertical="center" wrapText="1"/>
    </xf>
    <xf numFmtId="0" fontId="7" fillId="13" borderId="1" xfId="0" applyFont="1" applyFill="1" applyBorder="1" applyAlignment="1">
      <alignment horizontal="center" vertical="center"/>
    </xf>
    <xf numFmtId="0" fontId="7" fillId="13" borderId="3" xfId="0" applyFont="1" applyFill="1" applyBorder="1" applyAlignment="1">
      <alignment horizontal="center" vertical="center"/>
    </xf>
    <xf numFmtId="0" fontId="7" fillId="13" borderId="1" xfId="0" applyFont="1" applyFill="1" applyBorder="1" applyAlignment="1">
      <alignment horizontal="left" vertical="center"/>
    </xf>
    <xf numFmtId="0" fontId="7" fillId="13" borderId="3" xfId="0" applyFont="1" applyFill="1" applyBorder="1" applyAlignment="1">
      <alignment horizontal="left" vertical="center"/>
    </xf>
    <xf numFmtId="3" fontId="8" fillId="13" borderId="4" xfId="0" applyNumberFormat="1" applyFont="1" applyFill="1" applyBorder="1" applyAlignment="1">
      <alignment horizontal="center" vertical="center"/>
    </xf>
    <xf numFmtId="0" fontId="8" fillId="23" borderId="55" xfId="0" applyFont="1" applyFill="1" applyBorder="1" applyAlignment="1">
      <alignment horizontal="center" vertical="center"/>
    </xf>
    <xf numFmtId="3" fontId="8" fillId="23" borderId="54" xfId="0" applyNumberFormat="1" applyFont="1" applyFill="1" applyBorder="1" applyAlignment="1">
      <alignment horizontal="center"/>
    </xf>
    <xf numFmtId="3" fontId="8" fillId="23" borderId="23" xfId="0" applyNumberFormat="1" applyFont="1" applyFill="1" applyBorder="1" applyAlignment="1">
      <alignment horizontal="center"/>
    </xf>
    <xf numFmtId="0" fontId="8" fillId="3" borderId="6" xfId="0" applyFont="1" applyFill="1" applyBorder="1" applyAlignment="1">
      <alignment horizontal="center"/>
    </xf>
    <xf numFmtId="0" fontId="8" fillId="3" borderId="8" xfId="0" applyFont="1" applyFill="1" applyBorder="1" applyAlignment="1">
      <alignment horizontal="left" wrapText="1"/>
    </xf>
    <xf numFmtId="0" fontId="8" fillId="3" borderId="8" xfId="0" applyFont="1" applyFill="1" applyBorder="1" applyAlignment="1">
      <alignment horizontal="center"/>
    </xf>
    <xf numFmtId="3" fontId="8" fillId="3" borderId="9" xfId="0" applyNumberFormat="1" applyFont="1" applyFill="1" applyBorder="1" applyAlignment="1">
      <alignment horizontal="center"/>
    </xf>
    <xf numFmtId="0" fontId="7" fillId="17" borderId="7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center"/>
    </xf>
    <xf numFmtId="0" fontId="8" fillId="7" borderId="8" xfId="0" applyFont="1" applyFill="1" applyBorder="1" applyAlignment="1">
      <alignment horizontal="left" wrapText="1"/>
    </xf>
    <xf numFmtId="0" fontId="8" fillId="7" borderId="8" xfId="0" applyFont="1" applyFill="1" applyBorder="1" applyAlignment="1">
      <alignment horizontal="center"/>
    </xf>
    <xf numFmtId="3" fontId="8" fillId="7" borderId="9" xfId="0" applyNumberFormat="1" applyFont="1" applyFill="1" applyBorder="1" applyAlignment="1">
      <alignment horizontal="center"/>
    </xf>
    <xf numFmtId="0" fontId="7" fillId="7" borderId="7" xfId="0" applyFont="1" applyFill="1" applyBorder="1" applyAlignment="1">
      <alignment horizontal="center" vertical="center"/>
    </xf>
    <xf numFmtId="0" fontId="8" fillId="3" borderId="8" xfId="0" applyFont="1" applyFill="1" applyBorder="1" applyAlignment="1">
      <alignment horizontal="left"/>
    </xf>
    <xf numFmtId="0" fontId="8" fillId="7" borderId="41" xfId="0" applyFont="1" applyFill="1" applyBorder="1" applyAlignment="1">
      <alignment horizontal="center"/>
    </xf>
    <xf numFmtId="0" fontId="8" fillId="7" borderId="42" xfId="0" applyFont="1" applyFill="1" applyBorder="1" applyAlignment="1">
      <alignment horizontal="left" wrapText="1"/>
    </xf>
    <xf numFmtId="0" fontId="8" fillId="7" borderId="42" xfId="0" applyFont="1" applyFill="1" applyBorder="1" applyAlignment="1">
      <alignment horizontal="center"/>
    </xf>
    <xf numFmtId="3" fontId="8" fillId="7" borderId="43" xfId="0" applyNumberFormat="1" applyFont="1" applyFill="1" applyBorder="1" applyAlignment="1">
      <alignment horizontal="center"/>
    </xf>
    <xf numFmtId="0" fontId="8" fillId="17" borderId="6" xfId="0" applyFont="1" applyFill="1" applyBorder="1" applyAlignment="1">
      <alignment horizontal="center"/>
    </xf>
    <xf numFmtId="0" fontId="8" fillId="17" borderId="8" xfId="0" applyFont="1" applyFill="1" applyBorder="1" applyAlignment="1">
      <alignment horizontal="left" wrapText="1"/>
    </xf>
    <xf numFmtId="164" fontId="8" fillId="17" borderId="8" xfId="0" applyNumberFormat="1" applyFont="1" applyFill="1" applyBorder="1" applyAlignment="1">
      <alignment horizontal="center"/>
    </xf>
    <xf numFmtId="3" fontId="8" fillId="17" borderId="9" xfId="0" applyNumberFormat="1" applyFont="1" applyFill="1" applyBorder="1" applyAlignment="1">
      <alignment horizontal="center"/>
    </xf>
    <xf numFmtId="0" fontId="8" fillId="7" borderId="7" xfId="0" applyFont="1" applyFill="1" applyBorder="1" applyAlignment="1">
      <alignment horizontal="center" vertical="center"/>
    </xf>
    <xf numFmtId="0" fontId="8" fillId="17" borderId="41" xfId="0" applyFont="1" applyFill="1" applyBorder="1" applyAlignment="1">
      <alignment horizontal="center"/>
    </xf>
    <xf numFmtId="0" fontId="8" fillId="17" borderId="42" xfId="0" applyFont="1" applyFill="1" applyBorder="1" applyAlignment="1">
      <alignment horizontal="left" wrapText="1"/>
    </xf>
    <xf numFmtId="164" fontId="8" fillId="17" borderId="42" xfId="0" applyNumberFormat="1" applyFont="1" applyFill="1" applyBorder="1" applyAlignment="1">
      <alignment horizontal="center"/>
    </xf>
    <xf numFmtId="3" fontId="8" fillId="17" borderId="43" xfId="0" applyNumberFormat="1" applyFont="1" applyFill="1" applyBorder="1" applyAlignment="1">
      <alignment horizontal="center"/>
    </xf>
    <xf numFmtId="0" fontId="8" fillId="7" borderId="17" xfId="0" applyFont="1" applyFill="1" applyBorder="1" applyAlignment="1">
      <alignment horizontal="center" vertical="center"/>
    </xf>
    <xf numFmtId="0" fontId="8" fillId="19" borderId="46" xfId="0" applyFont="1" applyFill="1" applyBorder="1" applyAlignment="1">
      <alignment horizontal="center"/>
    </xf>
    <xf numFmtId="0" fontId="8" fillId="19" borderId="47" xfId="0" applyFont="1" applyFill="1" applyBorder="1" applyAlignment="1">
      <alignment horizontal="left" wrapText="1"/>
    </xf>
    <xf numFmtId="2" fontId="8" fillId="19" borderId="47" xfId="0" applyNumberFormat="1" applyFont="1" applyFill="1" applyBorder="1" applyAlignment="1">
      <alignment horizontal="center"/>
    </xf>
    <xf numFmtId="3" fontId="8" fillId="19" borderId="48" xfId="0" applyNumberFormat="1" applyFont="1" applyFill="1" applyBorder="1" applyAlignment="1">
      <alignment horizontal="center"/>
    </xf>
    <xf numFmtId="0" fontId="8" fillId="3" borderId="29" xfId="0" applyFont="1" applyFill="1" applyBorder="1" applyAlignment="1">
      <alignment horizontal="center"/>
    </xf>
    <xf numFmtId="0" fontId="8" fillId="3" borderId="26" xfId="0" applyFont="1" applyFill="1" applyBorder="1" applyAlignment="1">
      <alignment horizontal="left" wrapText="1"/>
    </xf>
    <xf numFmtId="2" fontId="8" fillId="3" borderId="26" xfId="0" applyNumberFormat="1" applyFont="1" applyFill="1" applyBorder="1" applyAlignment="1">
      <alignment horizontal="center"/>
    </xf>
    <xf numFmtId="3" fontId="8" fillId="3" borderId="25" xfId="0" applyNumberFormat="1" applyFont="1" applyFill="1" applyBorder="1" applyAlignment="1">
      <alignment horizontal="center"/>
    </xf>
    <xf numFmtId="0" fontId="7" fillId="7" borderId="58" xfId="0" applyFont="1" applyFill="1" applyBorder="1" applyAlignment="1">
      <alignment horizontal="center" vertical="center"/>
    </xf>
    <xf numFmtId="0" fontId="8" fillId="7" borderId="58" xfId="0" applyFont="1" applyFill="1" applyBorder="1" applyAlignment="1">
      <alignment horizontal="center" vertical="center"/>
    </xf>
    <xf numFmtId="0" fontId="8" fillId="7" borderId="16" xfId="0" applyFont="1" applyFill="1" applyBorder="1" applyAlignment="1">
      <alignment horizontal="center"/>
    </xf>
    <xf numFmtId="0" fontId="8" fillId="7" borderId="18" xfId="0" applyFont="1" applyFill="1" applyBorder="1" applyAlignment="1">
      <alignment horizontal="left" wrapText="1"/>
    </xf>
    <xf numFmtId="0" fontId="8" fillId="7" borderId="18" xfId="0" applyFont="1" applyFill="1" applyBorder="1" applyAlignment="1">
      <alignment horizontal="center"/>
    </xf>
    <xf numFmtId="3" fontId="8" fillId="7" borderId="19" xfId="0" applyNumberFormat="1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 vertical="center"/>
    </xf>
    <xf numFmtId="0" fontId="8" fillId="3" borderId="18" xfId="0" applyFont="1" applyFill="1" applyBorder="1" applyAlignment="1">
      <alignment horizontal="left"/>
    </xf>
    <xf numFmtId="0" fontId="8" fillId="3" borderId="18" xfId="0" applyFont="1" applyFill="1" applyBorder="1" applyAlignment="1">
      <alignment horizontal="center"/>
    </xf>
    <xf numFmtId="3" fontId="8" fillId="3" borderId="19" xfId="0" applyNumberFormat="1" applyFont="1" applyFill="1" applyBorder="1" applyAlignment="1">
      <alignment horizontal="center"/>
    </xf>
    <xf numFmtId="0" fontId="7" fillId="13" borderId="3" xfId="0" applyFont="1" applyFill="1" applyBorder="1" applyAlignment="1">
      <alignment horizontal="left" vertical="center" wrapText="1"/>
    </xf>
    <xf numFmtId="0" fontId="7" fillId="13" borderId="1" xfId="0" applyFont="1" applyFill="1" applyBorder="1" applyAlignment="1">
      <alignment horizontal="left" vertical="center" indent="1"/>
    </xf>
    <xf numFmtId="4" fontId="7" fillId="13" borderId="3" xfId="0" applyNumberFormat="1" applyFont="1" applyFill="1" applyBorder="1" applyAlignment="1">
      <alignment horizontal="center" vertical="center"/>
    </xf>
    <xf numFmtId="4" fontId="7" fillId="13" borderId="4" xfId="0" applyNumberFormat="1" applyFont="1" applyFill="1" applyBorder="1" applyAlignment="1">
      <alignment horizontal="center" vertical="center"/>
    </xf>
    <xf numFmtId="0" fontId="7" fillId="13" borderId="33" xfId="0" applyFont="1" applyFill="1" applyBorder="1" applyAlignment="1">
      <alignment horizontal="center" vertical="center"/>
    </xf>
    <xf numFmtId="4" fontId="7" fillId="13" borderId="2" xfId="0" applyNumberFormat="1" applyFont="1" applyFill="1" applyBorder="1" applyAlignment="1">
      <alignment horizontal="center" vertical="center"/>
    </xf>
    <xf numFmtId="4" fontId="7" fillId="13" borderId="1" xfId="0" applyNumberFormat="1" applyFont="1" applyFill="1" applyBorder="1" applyAlignment="1">
      <alignment horizontal="center" vertical="center"/>
    </xf>
    <xf numFmtId="4" fontId="7" fillId="13" borderId="78" xfId="0" applyNumberFormat="1" applyFont="1" applyFill="1" applyBorder="1" applyAlignment="1">
      <alignment horizontal="center" vertical="center"/>
    </xf>
    <xf numFmtId="0" fontId="8" fillId="7" borderId="8" xfId="0" applyFont="1" applyFill="1" applyBorder="1" applyAlignment="1">
      <alignment horizontal="left"/>
    </xf>
    <xf numFmtId="0" fontId="8" fillId="7" borderId="9" xfId="0" applyFont="1" applyFill="1" applyBorder="1" applyAlignment="1">
      <alignment horizontal="center"/>
    </xf>
    <xf numFmtId="3" fontId="8" fillId="7" borderId="38" xfId="0" applyNumberFormat="1" applyFont="1" applyFill="1" applyBorder="1" applyAlignment="1">
      <alignment horizontal="center"/>
    </xf>
    <xf numFmtId="0" fontId="8" fillId="7" borderId="19" xfId="0" applyFont="1" applyFill="1" applyBorder="1" applyAlignment="1">
      <alignment horizontal="center"/>
    </xf>
    <xf numFmtId="3" fontId="8" fillId="7" borderId="35" xfId="0" applyNumberFormat="1" applyFont="1" applyFill="1" applyBorder="1" applyAlignment="1">
      <alignment horizontal="center"/>
    </xf>
    <xf numFmtId="1" fontId="6" fillId="5" borderId="53" xfId="0" applyNumberFormat="1" applyFont="1" applyFill="1" applyBorder="1" applyAlignment="1">
      <alignment horizontal="center" vertical="center"/>
    </xf>
    <xf numFmtId="1" fontId="6" fillId="5" borderId="32" xfId="0" applyNumberFormat="1" applyFont="1" applyFill="1" applyBorder="1" applyAlignment="1">
      <alignment horizontal="center" vertical="center"/>
    </xf>
    <xf numFmtId="1" fontId="6" fillId="5" borderId="33" xfId="0" applyNumberFormat="1" applyFont="1" applyFill="1" applyBorder="1" applyAlignment="1">
      <alignment horizontal="center" vertical="center"/>
    </xf>
    <xf numFmtId="2" fontId="13" fillId="14" borderId="54" xfId="0" applyNumberFormat="1" applyFont="1" applyFill="1" applyBorder="1" applyAlignment="1">
      <alignment horizontal="center"/>
    </xf>
    <xf numFmtId="2" fontId="13" fillId="14" borderId="56" xfId="0" applyNumberFormat="1" applyFont="1" applyFill="1" applyBorder="1" applyAlignment="1">
      <alignment horizontal="center"/>
    </xf>
    <xf numFmtId="2" fontId="13" fillId="4" borderId="9" xfId="0" applyNumberFormat="1" applyFont="1" applyFill="1" applyBorder="1" applyAlignment="1">
      <alignment horizontal="center"/>
    </xf>
    <xf numFmtId="2" fontId="13" fillId="4" borderId="37" xfId="0" applyNumberFormat="1" applyFont="1" applyFill="1" applyBorder="1" applyAlignment="1">
      <alignment horizontal="center"/>
    </xf>
    <xf numFmtId="2" fontId="13" fillId="14" borderId="38" xfId="0" applyNumberFormat="1" applyFont="1" applyFill="1" applyBorder="1" applyAlignment="1">
      <alignment horizontal="center"/>
    </xf>
    <xf numFmtId="9" fontId="13" fillId="15" borderId="21" xfId="1" applyFont="1" applyFill="1" applyBorder="1" applyAlignment="1">
      <alignment horizontal="left"/>
    </xf>
    <xf numFmtId="1" fontId="13" fillId="15" borderId="76" xfId="0" applyNumberFormat="1" applyFont="1" applyFill="1" applyBorder="1" applyAlignment="1">
      <alignment horizontal="left"/>
    </xf>
    <xf numFmtId="165" fontId="13" fillId="18" borderId="37" xfId="0" applyNumberFormat="1" applyFont="1" applyFill="1" applyBorder="1" applyAlignment="1">
      <alignment horizontal="center"/>
    </xf>
    <xf numFmtId="2" fontId="13" fillId="18" borderId="39" xfId="0" applyNumberFormat="1" applyFont="1" applyFill="1" applyBorder="1" applyAlignment="1">
      <alignment horizontal="center"/>
    </xf>
    <xf numFmtId="2" fontId="13" fillId="8" borderId="9" xfId="0" applyNumberFormat="1" applyFont="1" applyFill="1" applyBorder="1" applyAlignment="1">
      <alignment horizontal="center"/>
    </xf>
    <xf numFmtId="2" fontId="13" fillId="8" borderId="37" xfId="0" applyNumberFormat="1" applyFont="1" applyFill="1" applyBorder="1" applyAlignment="1">
      <alignment horizontal="center"/>
    </xf>
    <xf numFmtId="2" fontId="13" fillId="16" borderId="38" xfId="0" applyNumberFormat="1" applyFont="1" applyFill="1" applyBorder="1" applyAlignment="1">
      <alignment horizontal="center"/>
    </xf>
    <xf numFmtId="1" fontId="13" fillId="15" borderId="6" xfId="0" applyNumberFormat="1" applyFont="1" applyFill="1" applyBorder="1" applyAlignment="1">
      <alignment horizontal="left"/>
    </xf>
    <xf numFmtId="1" fontId="13" fillId="15" borderId="38" xfId="0" applyNumberFormat="1" applyFont="1" applyFill="1" applyBorder="1" applyAlignment="1">
      <alignment horizontal="left"/>
    </xf>
    <xf numFmtId="165" fontId="13" fillId="8" borderId="37" xfId="0" applyNumberFormat="1" applyFont="1" applyFill="1" applyBorder="1" applyAlignment="1">
      <alignment horizontal="center"/>
    </xf>
    <xf numFmtId="2" fontId="13" fillId="8" borderId="39" xfId="0" applyNumberFormat="1" applyFont="1" applyFill="1" applyBorder="1" applyAlignment="1">
      <alignment horizontal="center"/>
    </xf>
    <xf numFmtId="2" fontId="13" fillId="8" borderId="43" xfId="0" applyNumberFormat="1" applyFont="1" applyFill="1" applyBorder="1" applyAlignment="1">
      <alignment horizontal="center"/>
    </xf>
    <xf numFmtId="2" fontId="13" fillId="8" borderId="44" xfId="0" applyNumberFormat="1" applyFont="1" applyFill="1" applyBorder="1" applyAlignment="1">
      <alignment horizontal="center"/>
    </xf>
    <xf numFmtId="2" fontId="13" fillId="16" borderId="45" xfId="0" applyNumberFormat="1" applyFont="1" applyFill="1" applyBorder="1" applyAlignment="1">
      <alignment horizontal="center"/>
    </xf>
    <xf numFmtId="2" fontId="13" fillId="18" borderId="9" xfId="0" applyNumberFormat="1" applyFont="1" applyFill="1" applyBorder="1" applyAlignment="1">
      <alignment horizontal="center"/>
    </xf>
    <xf numFmtId="2" fontId="13" fillId="18" borderId="37" xfId="0" applyNumberFormat="1" applyFont="1" applyFill="1" applyBorder="1" applyAlignment="1">
      <alignment horizontal="center"/>
    </xf>
    <xf numFmtId="2" fontId="13" fillId="18" borderId="38" xfId="0" applyNumberFormat="1" applyFont="1" applyFill="1" applyBorder="1" applyAlignment="1">
      <alignment horizontal="center"/>
    </xf>
    <xf numFmtId="2" fontId="13" fillId="18" borderId="43" xfId="0" applyNumberFormat="1" applyFont="1" applyFill="1" applyBorder="1" applyAlignment="1">
      <alignment horizontal="center"/>
    </xf>
    <xf numFmtId="2" fontId="13" fillId="18" borderId="44" xfId="0" applyNumberFormat="1" applyFont="1" applyFill="1" applyBorder="1" applyAlignment="1">
      <alignment horizontal="center"/>
    </xf>
    <xf numFmtId="2" fontId="13" fillId="18" borderId="45" xfId="0" applyNumberFormat="1" applyFont="1" applyFill="1" applyBorder="1" applyAlignment="1">
      <alignment horizontal="center"/>
    </xf>
    <xf numFmtId="165" fontId="13" fillId="8" borderId="34" xfId="0" applyNumberFormat="1" applyFont="1" applyFill="1" applyBorder="1" applyAlignment="1">
      <alignment horizontal="center"/>
    </xf>
    <xf numFmtId="2" fontId="13" fillId="8" borderId="40" xfId="0" applyNumberFormat="1" applyFont="1" applyFill="1" applyBorder="1" applyAlignment="1">
      <alignment horizontal="center"/>
    </xf>
    <xf numFmtId="2" fontId="13" fillId="20" borderId="48" xfId="0" applyNumberFormat="1" applyFont="1" applyFill="1" applyBorder="1" applyAlignment="1">
      <alignment horizontal="center"/>
    </xf>
    <xf numFmtId="2" fontId="13" fillId="20" borderId="49" xfId="0" applyNumberFormat="1" applyFont="1" applyFill="1" applyBorder="1" applyAlignment="1">
      <alignment horizontal="center"/>
    </xf>
    <xf numFmtId="2" fontId="13" fillId="20" borderId="50" xfId="0" applyNumberFormat="1" applyFont="1" applyFill="1" applyBorder="1" applyAlignment="1">
      <alignment horizontal="center"/>
    </xf>
    <xf numFmtId="2" fontId="13" fillId="4" borderId="25" xfId="0" applyNumberFormat="1" applyFont="1" applyFill="1" applyBorder="1" applyAlignment="1">
      <alignment horizontal="center"/>
    </xf>
    <xf numFmtId="2" fontId="13" fillId="4" borderId="51" xfId="0" applyNumberFormat="1" applyFont="1" applyFill="1" applyBorder="1" applyAlignment="1">
      <alignment horizontal="center"/>
    </xf>
    <xf numFmtId="2" fontId="13" fillId="20" borderId="52" xfId="0" applyNumberFormat="1" applyFont="1" applyFill="1" applyBorder="1" applyAlignment="1">
      <alignment horizontal="center"/>
    </xf>
    <xf numFmtId="1" fontId="13" fillId="15" borderId="16" xfId="0" applyNumberFormat="1" applyFont="1" applyFill="1" applyBorder="1" applyAlignment="1">
      <alignment horizontal="left"/>
    </xf>
    <xf numFmtId="1" fontId="13" fillId="15" borderId="35" xfId="0" applyNumberFormat="1" applyFont="1" applyFill="1" applyBorder="1" applyAlignment="1">
      <alignment horizontal="left"/>
    </xf>
    <xf numFmtId="165" fontId="13" fillId="8" borderId="44" xfId="0" applyNumberFormat="1" applyFont="1" applyFill="1" applyBorder="1" applyAlignment="1">
      <alignment horizontal="center"/>
    </xf>
    <xf numFmtId="2" fontId="13" fillId="8" borderId="59" xfId="0" applyNumberFormat="1" applyFont="1" applyFill="1" applyBorder="1" applyAlignment="1">
      <alignment horizontal="center"/>
    </xf>
    <xf numFmtId="1" fontId="6" fillId="5" borderId="5" xfId="0" applyNumberFormat="1" applyFont="1" applyFill="1" applyBorder="1" applyAlignment="1">
      <alignment horizontal="center" vertical="center"/>
    </xf>
    <xf numFmtId="2" fontId="13" fillId="14" borderId="39" xfId="0" applyNumberFormat="1" applyFont="1" applyFill="1" applyBorder="1" applyAlignment="1">
      <alignment horizontal="center"/>
    </xf>
    <xf numFmtId="1" fontId="13" fillId="15" borderId="21" xfId="0" applyNumberFormat="1" applyFont="1" applyFill="1" applyBorder="1" applyAlignment="1">
      <alignment horizontal="left"/>
    </xf>
    <xf numFmtId="2" fontId="13" fillId="16" borderId="39" xfId="0" applyNumberFormat="1" applyFont="1" applyFill="1" applyBorder="1" applyAlignment="1">
      <alignment horizontal="center"/>
    </xf>
    <xf numFmtId="2" fontId="13" fillId="8" borderId="19" xfId="0" applyNumberFormat="1" applyFont="1" applyFill="1" applyBorder="1" applyAlignment="1">
      <alignment horizontal="center"/>
    </xf>
    <xf numFmtId="2" fontId="13" fillId="8" borderId="34" xfId="0" applyNumberFormat="1" applyFont="1" applyFill="1" applyBorder="1" applyAlignment="1">
      <alignment horizontal="center"/>
    </xf>
    <xf numFmtId="2" fontId="13" fillId="16" borderId="40" xfId="0" applyNumberFormat="1" applyFont="1" applyFill="1" applyBorder="1" applyAlignment="1">
      <alignment horizontal="center"/>
    </xf>
    <xf numFmtId="2" fontId="13" fillId="8" borderId="24" xfId="0" applyNumberFormat="1" applyFont="1" applyFill="1" applyBorder="1" applyAlignment="1">
      <alignment horizontal="center"/>
    </xf>
    <xf numFmtId="2" fontId="13" fillId="16" borderId="35" xfId="0" applyNumberFormat="1" applyFont="1" applyFill="1" applyBorder="1" applyAlignment="1">
      <alignment horizontal="center"/>
    </xf>
    <xf numFmtId="2" fontId="13" fillId="8" borderId="20" xfId="0" applyNumberFormat="1" applyFont="1" applyFill="1" applyBorder="1" applyAlignment="1">
      <alignment horizontal="center"/>
    </xf>
    <xf numFmtId="1" fontId="6" fillId="5" borderId="2" xfId="0" applyNumberFormat="1" applyFont="1" applyFill="1" applyBorder="1" applyAlignment="1">
      <alignment horizontal="center" vertical="center"/>
    </xf>
    <xf numFmtId="1" fontId="6" fillId="5" borderId="5" xfId="0" applyNumberFormat="1" applyFont="1" applyFill="1" applyBorder="1" applyAlignment="1">
      <alignment horizontal="left" vertical="center"/>
    </xf>
    <xf numFmtId="1" fontId="13" fillId="4" borderId="34" xfId="0" applyNumberFormat="1" applyFont="1" applyFill="1" applyBorder="1" applyAlignment="1">
      <alignment horizontal="center"/>
    </xf>
    <xf numFmtId="1" fontId="13" fillId="14" borderId="35" xfId="0" applyNumberFormat="1" applyFont="1" applyFill="1" applyBorder="1" applyAlignment="1">
      <alignment horizontal="center"/>
    </xf>
    <xf numFmtId="1" fontId="13" fillId="4" borderId="17" xfId="0" applyNumberFormat="1" applyFont="1" applyFill="1" applyBorder="1" applyAlignment="1">
      <alignment horizontal="center"/>
    </xf>
    <xf numFmtId="1" fontId="13" fillId="4" borderId="19" xfId="0" applyNumberFormat="1" applyFont="1" applyFill="1" applyBorder="1" applyAlignment="1">
      <alignment horizontal="center"/>
    </xf>
    <xf numFmtId="9" fontId="13" fillId="4" borderId="40" xfId="1" applyNumberFormat="1" applyFont="1" applyFill="1" applyBorder="1" applyAlignment="1">
      <alignment horizontal="center"/>
    </xf>
    <xf numFmtId="1" fontId="13" fillId="15" borderId="20" xfId="0" applyNumberFormat="1" applyFont="1" applyFill="1" applyBorder="1" applyAlignment="1">
      <alignment horizontal="left"/>
    </xf>
    <xf numFmtId="1" fontId="6" fillId="5" borderId="4" xfId="0" applyNumberFormat="1" applyFont="1" applyFill="1" applyBorder="1" applyAlignment="1">
      <alignment horizontal="center" vertical="center"/>
    </xf>
    <xf numFmtId="1" fontId="13" fillId="4" borderId="9" xfId="0" applyNumberFormat="1" applyFont="1" applyFill="1" applyBorder="1" applyAlignment="1">
      <alignment horizontal="center"/>
    </xf>
    <xf numFmtId="1" fontId="13" fillId="4" borderId="37" xfId="0" applyNumberFormat="1" applyFont="1" applyFill="1" applyBorder="1" applyAlignment="1">
      <alignment horizontal="center"/>
    </xf>
    <xf numFmtId="1" fontId="13" fillId="14" borderId="38" xfId="0" applyNumberFormat="1" applyFont="1" applyFill="1" applyBorder="1" applyAlignment="1">
      <alignment horizontal="center"/>
    </xf>
    <xf numFmtId="1" fontId="13" fillId="4" borderId="7" xfId="0" applyNumberFormat="1" applyFont="1" applyFill="1" applyBorder="1" applyAlignment="1">
      <alignment horizontal="center"/>
    </xf>
    <xf numFmtId="9" fontId="13" fillId="4" borderId="39" xfId="1" applyNumberFormat="1" applyFont="1" applyFill="1" applyBorder="1" applyAlignment="1">
      <alignment horizontal="center"/>
    </xf>
    <xf numFmtId="1" fontId="13" fillId="15" borderId="10" xfId="0" applyNumberFormat="1" applyFont="1" applyFill="1" applyBorder="1" applyAlignment="1">
      <alignment horizontal="left"/>
    </xf>
    <xf numFmtId="1" fontId="13" fillId="8" borderId="9" xfId="0" applyNumberFormat="1" applyFont="1" applyFill="1" applyBorder="1" applyAlignment="1">
      <alignment horizontal="center"/>
    </xf>
    <xf numFmtId="1" fontId="13" fillId="8" borderId="37" xfId="0" applyNumberFormat="1" applyFont="1" applyFill="1" applyBorder="1" applyAlignment="1">
      <alignment horizontal="center"/>
    </xf>
    <xf numFmtId="1" fontId="13" fillId="16" borderId="38" xfId="0" applyNumberFormat="1" applyFont="1" applyFill="1" applyBorder="1" applyAlignment="1">
      <alignment horizontal="center"/>
    </xf>
    <xf numFmtId="1" fontId="13" fillId="8" borderId="7" xfId="0" applyNumberFormat="1" applyFont="1" applyFill="1" applyBorder="1" applyAlignment="1">
      <alignment horizontal="center"/>
    </xf>
    <xf numFmtId="9" fontId="13" fillId="8" borderId="39" xfId="1" applyNumberFormat="1" applyFont="1" applyFill="1" applyBorder="1" applyAlignment="1">
      <alignment horizontal="center"/>
    </xf>
    <xf numFmtId="2" fontId="13" fillId="4" borderId="7" xfId="0" applyNumberFormat="1" applyFont="1" applyFill="1" applyBorder="1" applyAlignment="1">
      <alignment horizontal="center"/>
    </xf>
    <xf numFmtId="2" fontId="13" fillId="15" borderId="24" xfId="0" applyNumberFormat="1" applyFont="1" applyFill="1" applyBorder="1" applyAlignment="1">
      <alignment horizontal="left"/>
    </xf>
    <xf numFmtId="2" fontId="13" fillId="8" borderId="7" xfId="0" applyNumberFormat="1" applyFont="1" applyFill="1" applyBorder="1" applyAlignment="1">
      <alignment horizontal="center"/>
    </xf>
    <xf numFmtId="2" fontId="13" fillId="15" borderId="10" xfId="0" applyNumberFormat="1" applyFont="1" applyFill="1" applyBorder="1" applyAlignment="1">
      <alignment horizontal="left"/>
    </xf>
    <xf numFmtId="2" fontId="13" fillId="8" borderId="17" xfId="0" applyNumberFormat="1" applyFont="1" applyFill="1" applyBorder="1" applyAlignment="1">
      <alignment horizontal="center"/>
    </xf>
    <xf numFmtId="9" fontId="13" fillId="8" borderId="40" xfId="1" applyNumberFormat="1" applyFont="1" applyFill="1" applyBorder="1" applyAlignment="1">
      <alignment horizontal="center"/>
    </xf>
    <xf numFmtId="1" fontId="13" fillId="8" borderId="57" xfId="0" applyNumberFormat="1" applyFont="1" applyFill="1" applyBorder="1" applyAlignment="1">
      <alignment horizontal="center"/>
    </xf>
    <xf numFmtId="2" fontId="13" fillId="8" borderId="6" xfId="0" applyNumberFormat="1" applyFont="1" applyFill="1" applyBorder="1" applyAlignment="1">
      <alignment horizontal="center"/>
    </xf>
    <xf numFmtId="2" fontId="13" fillId="8" borderId="80" xfId="0" applyNumberFormat="1" applyFont="1" applyFill="1" applyBorder="1" applyAlignment="1">
      <alignment horizontal="center"/>
    </xf>
    <xf numFmtId="1" fontId="13" fillId="8" borderId="79" xfId="0" applyNumberFormat="1" applyFont="1" applyFill="1" applyBorder="1" applyAlignment="1">
      <alignment horizontal="center"/>
    </xf>
    <xf numFmtId="2" fontId="13" fillId="8" borderId="16" xfId="0" applyNumberFormat="1" applyFont="1" applyFill="1" applyBorder="1" applyAlignment="1">
      <alignment horizontal="center"/>
    </xf>
    <xf numFmtId="2" fontId="13" fillId="8" borderId="81" xfId="0" applyNumberFormat="1" applyFont="1" applyFill="1" applyBorder="1" applyAlignment="1">
      <alignment horizontal="center"/>
    </xf>
    <xf numFmtId="0" fontId="13" fillId="0" borderId="0" xfId="0" applyFont="1" applyAlignment="1">
      <alignment horizontal="left" wrapText="1"/>
    </xf>
    <xf numFmtId="4" fontId="7" fillId="2" borderId="3" xfId="0" applyNumberFormat="1" applyFont="1" applyFill="1" applyBorder="1" applyAlignment="1">
      <alignment horizontal="center" vertical="center"/>
    </xf>
    <xf numFmtId="4" fontId="7" fillId="2" borderId="33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left" vertical="center"/>
    </xf>
    <xf numFmtId="1" fontId="2" fillId="5" borderId="33" xfId="0" applyNumberFormat="1" applyFont="1" applyFill="1" applyBorder="1" applyAlignment="1">
      <alignment horizontal="left" vertical="center"/>
    </xf>
    <xf numFmtId="1" fontId="2" fillId="5" borderId="36" xfId="0" applyNumberFormat="1" applyFont="1" applyFill="1" applyBorder="1" applyAlignment="1">
      <alignment horizontal="center" vertical="center"/>
    </xf>
    <xf numFmtId="1" fontId="2" fillId="5" borderId="33" xfId="0" applyNumberFormat="1" applyFont="1" applyFill="1" applyBorder="1" applyAlignment="1">
      <alignment horizontal="center" vertical="center"/>
    </xf>
    <xf numFmtId="2" fontId="13" fillId="8" borderId="77" xfId="0" applyNumberFormat="1" applyFont="1" applyFill="1" applyBorder="1" applyAlignment="1">
      <alignment horizontal="center" vertical="center"/>
    </xf>
    <xf numFmtId="2" fontId="13" fillId="8" borderId="75" xfId="0" applyNumberFormat="1" applyFont="1" applyFill="1" applyBorder="1" applyAlignment="1">
      <alignment horizontal="center" vertical="center"/>
    </xf>
    <xf numFmtId="2" fontId="13" fillId="8" borderId="20" xfId="0" applyNumberFormat="1" applyFont="1" applyFill="1" applyBorder="1" applyAlignment="1">
      <alignment horizontal="center" vertical="center"/>
    </xf>
    <xf numFmtId="1" fontId="6" fillId="5" borderId="36" xfId="0" applyNumberFormat="1" applyFont="1" applyFill="1" applyBorder="1" applyAlignment="1">
      <alignment horizontal="center" vertical="center"/>
    </xf>
    <xf numFmtId="1" fontId="6" fillId="5" borderId="33" xfId="0" applyNumberFormat="1" applyFont="1" applyFill="1" applyBorder="1" applyAlignment="1">
      <alignment horizontal="center" vertical="center"/>
    </xf>
    <xf numFmtId="1" fontId="6" fillId="5" borderId="1" xfId="0" applyNumberFormat="1" applyFont="1" applyFill="1" applyBorder="1" applyAlignment="1">
      <alignment horizontal="left" vertical="center"/>
    </xf>
    <xf numFmtId="1" fontId="6" fillId="5" borderId="33" xfId="0" applyNumberFormat="1" applyFont="1" applyFill="1" applyBorder="1" applyAlignment="1">
      <alignment horizontal="left" vertical="center"/>
    </xf>
  </cellXfs>
  <cellStyles count="2">
    <cellStyle name="Normal" xfId="0" builtinId="0"/>
    <cellStyle name="Porcentagem" xfId="1" builtinId="5"/>
  </cellStyles>
  <dxfs count="37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3"/>
  <sheetViews>
    <sheetView showGridLines="0" topLeftCell="A117" zoomScale="70" zoomScaleNormal="70" workbookViewId="0">
      <selection activeCell="I172" sqref="I172"/>
    </sheetView>
  </sheetViews>
  <sheetFormatPr defaultRowHeight="12.75" x14ac:dyDescent="0.2"/>
  <cols>
    <col min="1" max="1" width="90" style="241" customWidth="1"/>
    <col min="2" max="2" width="7.28515625" style="241" bestFit="1" customWidth="1"/>
    <col min="3" max="3" width="7.42578125" style="241" bestFit="1" customWidth="1"/>
    <col min="4" max="4" width="7.140625" style="241" bestFit="1" customWidth="1"/>
    <col min="5" max="5" width="14.42578125" style="241" bestFit="1" customWidth="1"/>
    <col min="6" max="6" width="7.140625" style="241" bestFit="1" customWidth="1"/>
    <col min="7" max="7" width="6.85546875" style="241" bestFit="1" customWidth="1"/>
    <col min="8" max="8" width="7.42578125" style="241" bestFit="1" customWidth="1"/>
    <col min="9" max="9" width="8.140625" style="241" bestFit="1" customWidth="1"/>
    <col min="10" max="10" width="7.85546875" style="241" bestFit="1" customWidth="1"/>
    <col min="11" max="11" width="59.7109375" style="241" customWidth="1"/>
    <col min="12" max="12" width="1.7109375" style="241" customWidth="1"/>
    <col min="13" max="13" width="11.42578125" style="241" bestFit="1" customWidth="1"/>
    <col min="14" max="15" width="6.42578125" style="241" bestFit="1" customWidth="1"/>
    <col min="16" max="16" width="9.140625" style="241"/>
    <col min="17" max="17" width="60.5703125" style="241" bestFit="1" customWidth="1"/>
    <col min="18" max="20" width="9.140625" style="241"/>
    <col min="21" max="21" width="16.140625" style="241" bestFit="1" customWidth="1"/>
    <col min="22" max="16384" width="9.140625" style="241"/>
  </cols>
  <sheetData>
    <row r="1" spans="1:15" ht="13.5" thickBot="1" x14ac:dyDescent="0.25">
      <c r="A1" s="240"/>
      <c r="B1" s="240"/>
      <c r="C1" s="240"/>
      <c r="D1" s="240"/>
      <c r="E1" s="240"/>
      <c r="F1" s="240"/>
      <c r="G1" s="240"/>
      <c r="H1" s="240"/>
      <c r="I1" s="240"/>
      <c r="J1" s="240"/>
      <c r="K1" s="240"/>
    </row>
    <row r="2" spans="1:15" ht="13.5" thickBot="1" x14ac:dyDescent="0.25">
      <c r="A2" s="182" t="s">
        <v>0</v>
      </c>
      <c r="B2" s="183" t="s">
        <v>1</v>
      </c>
      <c r="C2" s="184" t="s">
        <v>2</v>
      </c>
      <c r="D2" s="184" t="s">
        <v>3</v>
      </c>
      <c r="E2" s="184" t="s">
        <v>4</v>
      </c>
      <c r="F2" s="184" t="s">
        <v>5</v>
      </c>
      <c r="G2" s="185" t="s">
        <v>1</v>
      </c>
      <c r="H2" s="184" t="s">
        <v>6</v>
      </c>
      <c r="I2" s="184" t="s">
        <v>7</v>
      </c>
      <c r="J2" s="184" t="s">
        <v>8</v>
      </c>
      <c r="K2" s="186" t="s">
        <v>9</v>
      </c>
      <c r="M2" s="187" t="s">
        <v>36</v>
      </c>
      <c r="N2" s="504" t="s">
        <v>37</v>
      </c>
      <c r="O2" s="505"/>
    </row>
    <row r="3" spans="1:15" x14ac:dyDescent="0.2">
      <c r="A3" s="188" t="s">
        <v>11</v>
      </c>
      <c r="B3" s="189" t="s">
        <v>1</v>
      </c>
      <c r="C3" s="242"/>
      <c r="D3" s="242"/>
      <c r="E3" s="242"/>
      <c r="F3" s="242"/>
      <c r="G3" s="243">
        <f>SUM(G4:G5)</f>
        <v>3</v>
      </c>
      <c r="H3" s="242"/>
      <c r="I3" s="242"/>
      <c r="J3" s="244">
        <f>SUM(J4:J5)</f>
        <v>3.2399999999999996E-4</v>
      </c>
      <c r="K3" s="245"/>
      <c r="M3" s="246">
        <f>1+2</f>
        <v>3</v>
      </c>
      <c r="N3" s="247">
        <f>M3-G3</f>
        <v>0</v>
      </c>
      <c r="O3" s="248">
        <f>N3/M3</f>
        <v>0</v>
      </c>
    </row>
    <row r="4" spans="1:15" x14ac:dyDescent="0.2">
      <c r="A4" s="190" t="s">
        <v>12</v>
      </c>
      <c r="B4" s="191"/>
      <c r="C4" s="249">
        <v>0.09</v>
      </c>
      <c r="D4" s="249">
        <v>0.12</v>
      </c>
      <c r="E4" s="249">
        <v>0.01</v>
      </c>
      <c r="F4" s="249"/>
      <c r="G4" s="250">
        <v>1</v>
      </c>
      <c r="H4" s="251"/>
      <c r="I4" s="249">
        <f>C4*D4*G4</f>
        <v>1.0799999999999999E-2</v>
      </c>
      <c r="J4" s="249">
        <f>I4*E4</f>
        <v>1.08E-4</v>
      </c>
      <c r="K4" s="252"/>
      <c r="M4" s="253"/>
      <c r="N4" s="254"/>
      <c r="O4" s="255"/>
    </row>
    <row r="5" spans="1:15" x14ac:dyDescent="0.2">
      <c r="A5" s="190" t="s">
        <v>13</v>
      </c>
      <c r="B5" s="191"/>
      <c r="C5" s="249">
        <v>0.09</v>
      </c>
      <c r="D5" s="249">
        <v>0.12</v>
      </c>
      <c r="E5" s="249">
        <v>0.01</v>
      </c>
      <c r="F5" s="249"/>
      <c r="G5" s="250">
        <v>2</v>
      </c>
      <c r="H5" s="251"/>
      <c r="I5" s="249">
        <f>C5*D5*G5</f>
        <v>2.1599999999999998E-2</v>
      </c>
      <c r="J5" s="249">
        <f>I5*E5</f>
        <v>2.1599999999999999E-4</v>
      </c>
      <c r="K5" s="252"/>
      <c r="M5" s="253"/>
      <c r="N5" s="254"/>
      <c r="O5" s="255"/>
    </row>
    <row r="6" spans="1:15" x14ac:dyDescent="0.2">
      <c r="A6" s="188" t="s">
        <v>14</v>
      </c>
      <c r="B6" s="189" t="s">
        <v>1</v>
      </c>
      <c r="C6" s="242"/>
      <c r="D6" s="242"/>
      <c r="E6" s="242"/>
      <c r="F6" s="242"/>
      <c r="G6" s="243">
        <f>SUM(G7:G9)</f>
        <v>2</v>
      </c>
      <c r="H6" s="256"/>
      <c r="I6" s="242"/>
      <c r="J6" s="244">
        <f>SUM(J7:J9)</f>
        <v>8.4000000000000012E-3</v>
      </c>
      <c r="K6" s="245"/>
      <c r="M6" s="246">
        <v>2</v>
      </c>
      <c r="N6" s="247">
        <f>M6-G6</f>
        <v>0</v>
      </c>
      <c r="O6" s="248">
        <f>N6/M6</f>
        <v>0</v>
      </c>
    </row>
    <row r="7" spans="1:15" x14ac:dyDescent="0.2">
      <c r="A7" s="190" t="s">
        <v>15</v>
      </c>
      <c r="B7" s="191"/>
      <c r="C7" s="249">
        <v>0.6</v>
      </c>
      <c r="D7" s="249">
        <v>0.6</v>
      </c>
      <c r="E7" s="249">
        <v>0.05</v>
      </c>
      <c r="F7" s="249"/>
      <c r="G7" s="250">
        <v>0</v>
      </c>
      <c r="H7" s="251"/>
      <c r="I7" s="249">
        <f>C7*D7*G7</f>
        <v>0</v>
      </c>
      <c r="J7" s="249">
        <f>I7*E7</f>
        <v>0</v>
      </c>
      <c r="K7" s="252"/>
      <c r="M7" s="253"/>
      <c r="N7" s="254"/>
      <c r="O7" s="255"/>
    </row>
    <row r="8" spans="1:15" x14ac:dyDescent="0.2">
      <c r="A8" s="190" t="s">
        <v>16</v>
      </c>
      <c r="B8" s="191"/>
      <c r="C8" s="249">
        <v>0.14000000000000001</v>
      </c>
      <c r="D8" s="249">
        <v>0.14000000000000001</v>
      </c>
      <c r="E8" s="249">
        <v>0.1</v>
      </c>
      <c r="F8" s="249"/>
      <c r="G8" s="250">
        <v>0</v>
      </c>
      <c r="H8" s="251"/>
      <c r="I8" s="249">
        <f>C8*D8*G8</f>
        <v>0</v>
      </c>
      <c r="J8" s="249">
        <f>I8*E8</f>
        <v>0</v>
      </c>
      <c r="K8" s="252"/>
      <c r="M8" s="253"/>
      <c r="N8" s="254"/>
      <c r="O8" s="255"/>
    </row>
    <row r="9" spans="1:15" x14ac:dyDescent="0.2">
      <c r="A9" s="190" t="s">
        <v>17</v>
      </c>
      <c r="B9" s="191"/>
      <c r="C9" s="249">
        <v>0.6</v>
      </c>
      <c r="D9" s="249">
        <v>0.14000000000000001</v>
      </c>
      <c r="E9" s="249">
        <v>0.05</v>
      </c>
      <c r="F9" s="249"/>
      <c r="G9" s="250">
        <v>2</v>
      </c>
      <c r="H9" s="251"/>
      <c r="I9" s="249">
        <f>C9*D9*G9</f>
        <v>0.16800000000000001</v>
      </c>
      <c r="J9" s="249">
        <f>I9*E9</f>
        <v>8.4000000000000012E-3</v>
      </c>
      <c r="K9" s="252"/>
      <c r="M9" s="253"/>
      <c r="N9" s="254"/>
      <c r="O9" s="255"/>
    </row>
    <row r="10" spans="1:15" x14ac:dyDescent="0.2">
      <c r="A10" s="188" t="s">
        <v>84</v>
      </c>
      <c r="B10" s="189" t="s">
        <v>35</v>
      </c>
      <c r="C10" s="242"/>
      <c r="D10" s="242"/>
      <c r="E10" s="242"/>
      <c r="F10" s="242"/>
      <c r="G10" s="257">
        <f>SUM(G11:G11)</f>
        <v>2</v>
      </c>
      <c r="H10" s="256"/>
      <c r="I10" s="258">
        <f>SUM(I11:I11)</f>
        <v>4.0232000000000001</v>
      </c>
      <c r="J10" s="244">
        <f>SUM(J11:J11)</f>
        <v>0.60348000000000002</v>
      </c>
      <c r="K10" s="245" t="s">
        <v>38</v>
      </c>
      <c r="M10" s="246">
        <v>2</v>
      </c>
      <c r="N10" s="247">
        <f>M10-G10</f>
        <v>0</v>
      </c>
      <c r="O10" s="248">
        <f>N10/M10</f>
        <v>0</v>
      </c>
    </row>
    <row r="11" spans="1:15" x14ac:dyDescent="0.2">
      <c r="A11" s="190" t="s">
        <v>107</v>
      </c>
      <c r="B11" s="191"/>
      <c r="C11" s="249">
        <v>0.94</v>
      </c>
      <c r="D11" s="249">
        <v>2.14</v>
      </c>
      <c r="E11" s="249">
        <v>0.15</v>
      </c>
      <c r="F11" s="249"/>
      <c r="G11" s="259">
        <v>2</v>
      </c>
      <c r="H11" s="251"/>
      <c r="I11" s="249">
        <f>C11*D11*G11</f>
        <v>4.0232000000000001</v>
      </c>
      <c r="J11" s="249">
        <f>C11*E11*D11*G11</f>
        <v>0.60348000000000002</v>
      </c>
      <c r="K11" s="252" t="s">
        <v>104</v>
      </c>
      <c r="M11" s="253"/>
      <c r="N11" s="254"/>
      <c r="O11" s="255"/>
    </row>
    <row r="12" spans="1:15" x14ac:dyDescent="0.2">
      <c r="A12" s="188" t="s">
        <v>20</v>
      </c>
      <c r="B12" s="189" t="s">
        <v>1</v>
      </c>
      <c r="C12" s="242"/>
      <c r="D12" s="242"/>
      <c r="E12" s="242"/>
      <c r="F12" s="242"/>
      <c r="G12" s="243">
        <f>SUM(G13:G15)</f>
        <v>6</v>
      </c>
      <c r="H12" s="242"/>
      <c r="I12" s="242"/>
      <c r="J12" s="244">
        <f>SUM(J13:J15)</f>
        <v>0.23594600000000004</v>
      </c>
      <c r="K12" s="245"/>
      <c r="M12" s="246">
        <f>SUM(M13:M15)</f>
        <v>6</v>
      </c>
      <c r="N12" s="247">
        <f>M12-G12</f>
        <v>0</v>
      </c>
      <c r="O12" s="248">
        <f>N12/M12</f>
        <v>0</v>
      </c>
    </row>
    <row r="13" spans="1:15" x14ac:dyDescent="0.2">
      <c r="A13" s="190" t="s">
        <v>21</v>
      </c>
      <c r="B13" s="191"/>
      <c r="C13" s="249">
        <v>0.47</v>
      </c>
      <c r="D13" s="249">
        <v>0.43</v>
      </c>
      <c r="E13" s="249">
        <v>0.13</v>
      </c>
      <c r="F13" s="249"/>
      <c r="G13" s="259">
        <f>1+1</f>
        <v>2</v>
      </c>
      <c r="H13" s="251"/>
      <c r="I13" s="249"/>
      <c r="J13" s="249">
        <f>C13*E13*D13*G13</f>
        <v>5.2546000000000002E-2</v>
      </c>
      <c r="K13" s="252"/>
      <c r="M13" s="260">
        <v>2</v>
      </c>
      <c r="N13" s="261">
        <f t="shared" ref="N13:N15" si="0">M13-G13</f>
        <v>0</v>
      </c>
      <c r="O13" s="255">
        <f t="shared" ref="O13:O15" si="1">N13/M13</f>
        <v>0</v>
      </c>
    </row>
    <row r="14" spans="1:15" x14ac:dyDescent="0.2">
      <c r="A14" s="192" t="s">
        <v>85</v>
      </c>
      <c r="B14" s="193"/>
      <c r="C14" s="262">
        <v>0.65</v>
      </c>
      <c r="D14" s="262">
        <v>0.15</v>
      </c>
      <c r="E14" s="262">
        <v>0.12</v>
      </c>
      <c r="F14" s="262"/>
      <c r="G14" s="263">
        <f>1+1</f>
        <v>2</v>
      </c>
      <c r="H14" s="264"/>
      <c r="I14" s="262"/>
      <c r="J14" s="262">
        <f>C14*E14*D14*G14</f>
        <v>2.3400000000000001E-2</v>
      </c>
      <c r="K14" s="252"/>
      <c r="M14" s="260">
        <v>2</v>
      </c>
      <c r="N14" s="261">
        <f t="shared" si="0"/>
        <v>0</v>
      </c>
      <c r="O14" s="255">
        <f t="shared" si="1"/>
        <v>0</v>
      </c>
    </row>
    <row r="15" spans="1:15" x14ac:dyDescent="0.2">
      <c r="A15" s="190" t="s">
        <v>22</v>
      </c>
      <c r="B15" s="191"/>
      <c r="C15" s="249">
        <v>0.4</v>
      </c>
      <c r="D15" s="249">
        <v>0.5</v>
      </c>
      <c r="E15" s="249">
        <v>0.4</v>
      </c>
      <c r="F15" s="249"/>
      <c r="G15" s="259">
        <f>1+1</f>
        <v>2</v>
      </c>
      <c r="H15" s="251"/>
      <c r="I15" s="249"/>
      <c r="J15" s="249">
        <f>C15*E15*D15*G15</f>
        <v>0.16000000000000003</v>
      </c>
      <c r="K15" s="252"/>
      <c r="M15" s="260">
        <v>2</v>
      </c>
      <c r="N15" s="261">
        <f t="shared" si="0"/>
        <v>0</v>
      </c>
      <c r="O15" s="255">
        <f t="shared" si="1"/>
        <v>0</v>
      </c>
    </row>
    <row r="16" spans="1:15" x14ac:dyDescent="0.2">
      <c r="A16" s="188" t="s">
        <v>23</v>
      </c>
      <c r="B16" s="189" t="s">
        <v>1</v>
      </c>
      <c r="C16" s="242"/>
      <c r="D16" s="242"/>
      <c r="E16" s="242"/>
      <c r="F16" s="242"/>
      <c r="G16" s="243">
        <f>SUM(G17)</f>
        <v>2</v>
      </c>
      <c r="H16" s="256"/>
      <c r="I16" s="256"/>
      <c r="J16" s="244">
        <f>SUM(J17)</f>
        <v>1.3520000000000001E-3</v>
      </c>
      <c r="K16" s="245"/>
      <c r="M16" s="246">
        <f>M17</f>
        <v>2</v>
      </c>
      <c r="N16" s="247">
        <f>M16-G16</f>
        <v>0</v>
      </c>
      <c r="O16" s="248">
        <f>N16/M16</f>
        <v>0</v>
      </c>
    </row>
    <row r="17" spans="1:15" x14ac:dyDescent="0.2">
      <c r="A17" s="190" t="s">
        <v>24</v>
      </c>
      <c r="B17" s="191"/>
      <c r="C17" s="249">
        <v>0.13</v>
      </c>
      <c r="D17" s="249">
        <v>0.13</v>
      </c>
      <c r="E17" s="249">
        <v>0.04</v>
      </c>
      <c r="F17" s="249"/>
      <c r="G17" s="259">
        <f>1+1</f>
        <v>2</v>
      </c>
      <c r="H17" s="251"/>
      <c r="I17" s="249"/>
      <c r="J17" s="249">
        <f>G17*E17*C17*D17</f>
        <v>1.3520000000000001E-3</v>
      </c>
      <c r="K17" s="252"/>
      <c r="M17" s="260">
        <v>2</v>
      </c>
      <c r="N17" s="261">
        <f t="shared" ref="N17" si="2">M17-G17</f>
        <v>0</v>
      </c>
      <c r="O17" s="255">
        <f t="shared" ref="O17" si="3">N17/M17</f>
        <v>0</v>
      </c>
    </row>
    <row r="18" spans="1:15" x14ac:dyDescent="0.2">
      <c r="A18" s="188" t="s">
        <v>25</v>
      </c>
      <c r="B18" s="189" t="s">
        <v>1</v>
      </c>
      <c r="C18" s="242"/>
      <c r="D18" s="242"/>
      <c r="E18" s="242"/>
      <c r="F18" s="242"/>
      <c r="G18" s="243">
        <f>SUM(G19:G26)</f>
        <v>20</v>
      </c>
      <c r="H18" s="242"/>
      <c r="I18" s="242"/>
      <c r="J18" s="244">
        <f>SUM(J19:J26)</f>
        <v>0.15825500000000003</v>
      </c>
      <c r="K18" s="245"/>
      <c r="M18" s="246">
        <f>SUM(M19:M26)</f>
        <v>20</v>
      </c>
      <c r="N18" s="247">
        <f>M18-G18</f>
        <v>0</v>
      </c>
      <c r="O18" s="248">
        <f>N18/M18</f>
        <v>0</v>
      </c>
    </row>
    <row r="19" spans="1:15" x14ac:dyDescent="0.2">
      <c r="A19" s="190" t="s">
        <v>39</v>
      </c>
      <c r="B19" s="191"/>
      <c r="C19" s="249">
        <v>0.25</v>
      </c>
      <c r="D19" s="249">
        <v>0.25</v>
      </c>
      <c r="E19" s="249">
        <v>0.25</v>
      </c>
      <c r="F19" s="249"/>
      <c r="G19" s="259">
        <f>1+2</f>
        <v>3</v>
      </c>
      <c r="H19" s="251"/>
      <c r="I19" s="249"/>
      <c r="J19" s="249">
        <f t="shared" ref="J19:J25" si="4">C19*E19*D19*G19</f>
        <v>4.6875E-2</v>
      </c>
      <c r="K19" s="252"/>
      <c r="M19" s="260">
        <v>3</v>
      </c>
      <c r="N19" s="261">
        <f t="shared" ref="N19:N26" si="5">M19-G19</f>
        <v>0</v>
      </c>
      <c r="O19" s="255">
        <f t="shared" ref="O19:O26" si="6">N19/M19</f>
        <v>0</v>
      </c>
    </row>
    <row r="20" spans="1:15" x14ac:dyDescent="0.2">
      <c r="A20" s="190" t="s">
        <v>89</v>
      </c>
      <c r="B20" s="191"/>
      <c r="C20" s="249">
        <v>0.1</v>
      </c>
      <c r="D20" s="249">
        <v>0.1</v>
      </c>
      <c r="E20" s="249">
        <v>0.1</v>
      </c>
      <c r="F20" s="249"/>
      <c r="G20" s="259">
        <f>1+2</f>
        <v>3</v>
      </c>
      <c r="H20" s="251"/>
      <c r="I20" s="249"/>
      <c r="J20" s="249">
        <f t="shared" ref="J20" si="7">C20*E20*D20*G20</f>
        <v>3.0000000000000009E-3</v>
      </c>
      <c r="K20" s="252"/>
      <c r="M20" s="260">
        <v>3</v>
      </c>
      <c r="N20" s="261">
        <f t="shared" si="5"/>
        <v>0</v>
      </c>
      <c r="O20" s="255">
        <f t="shared" si="6"/>
        <v>0</v>
      </c>
    </row>
    <row r="21" spans="1:15" x14ac:dyDescent="0.2">
      <c r="A21" s="190" t="s">
        <v>40</v>
      </c>
      <c r="B21" s="191"/>
      <c r="C21" s="249">
        <v>0.11</v>
      </c>
      <c r="D21" s="249">
        <v>0.1</v>
      </c>
      <c r="E21" s="249">
        <v>0.05</v>
      </c>
      <c r="F21" s="249"/>
      <c r="G21" s="259">
        <f>1+1</f>
        <v>2</v>
      </c>
      <c r="H21" s="251"/>
      <c r="I21" s="249"/>
      <c r="J21" s="249">
        <f>C21*E21*D21*G21</f>
        <v>1.1000000000000001E-3</v>
      </c>
      <c r="K21" s="252"/>
      <c r="M21" s="260">
        <v>2</v>
      </c>
      <c r="N21" s="261">
        <f t="shared" si="5"/>
        <v>0</v>
      </c>
      <c r="O21" s="255">
        <f t="shared" si="6"/>
        <v>0</v>
      </c>
    </row>
    <row r="22" spans="1:15" x14ac:dyDescent="0.2">
      <c r="A22" s="190" t="s">
        <v>26</v>
      </c>
      <c r="B22" s="191"/>
      <c r="C22" s="249">
        <v>0.6</v>
      </c>
      <c r="D22" s="249">
        <v>0.85</v>
      </c>
      <c r="E22" s="249">
        <v>4.0000000000000001E-3</v>
      </c>
      <c r="F22" s="249"/>
      <c r="G22" s="259">
        <f>1+1</f>
        <v>2</v>
      </c>
      <c r="H22" s="251"/>
      <c r="I22" s="249"/>
      <c r="J22" s="249">
        <f>C22*E22*D22*G22</f>
        <v>4.0799999999999994E-3</v>
      </c>
      <c r="K22" s="252"/>
      <c r="M22" s="260">
        <v>2</v>
      </c>
      <c r="N22" s="261">
        <f t="shared" si="5"/>
        <v>0</v>
      </c>
      <c r="O22" s="255">
        <f t="shared" si="6"/>
        <v>0</v>
      </c>
    </row>
    <row r="23" spans="1:15" x14ac:dyDescent="0.2">
      <c r="A23" s="190" t="s">
        <v>110</v>
      </c>
      <c r="B23" s="191"/>
      <c r="C23" s="249">
        <v>0.1</v>
      </c>
      <c r="D23" s="249">
        <v>0.1</v>
      </c>
      <c r="E23" s="249">
        <v>0.2</v>
      </c>
      <c r="F23" s="249"/>
      <c r="G23" s="259">
        <f>1+1</f>
        <v>2</v>
      </c>
      <c r="H23" s="251"/>
      <c r="I23" s="249"/>
      <c r="J23" s="249">
        <f>C23*E23*D23*G23</f>
        <v>4.000000000000001E-3</v>
      </c>
      <c r="K23" s="252"/>
      <c r="M23" s="260">
        <v>2</v>
      </c>
      <c r="N23" s="261">
        <f t="shared" si="5"/>
        <v>0</v>
      </c>
      <c r="O23" s="255">
        <f t="shared" si="6"/>
        <v>0</v>
      </c>
    </row>
    <row r="24" spans="1:15" x14ac:dyDescent="0.2">
      <c r="A24" s="190" t="s">
        <v>105</v>
      </c>
      <c r="B24" s="191"/>
      <c r="C24" s="249">
        <v>0.5</v>
      </c>
      <c r="D24" s="249">
        <v>0.04</v>
      </c>
      <c r="E24" s="249">
        <v>0.04</v>
      </c>
      <c r="F24" s="249"/>
      <c r="G24" s="259">
        <f>2+2</f>
        <v>4</v>
      </c>
      <c r="H24" s="251"/>
      <c r="I24" s="249"/>
      <c r="J24" s="249">
        <f t="shared" si="4"/>
        <v>3.2000000000000002E-3</v>
      </c>
      <c r="K24" s="252"/>
      <c r="M24" s="260">
        <v>4</v>
      </c>
      <c r="N24" s="261">
        <f t="shared" si="5"/>
        <v>0</v>
      </c>
      <c r="O24" s="255">
        <f t="shared" si="6"/>
        <v>0</v>
      </c>
    </row>
    <row r="25" spans="1:15" x14ac:dyDescent="0.2">
      <c r="A25" s="190" t="s">
        <v>42</v>
      </c>
      <c r="B25" s="191"/>
      <c r="C25" s="249">
        <v>0.4</v>
      </c>
      <c r="D25" s="249">
        <v>0.5</v>
      </c>
      <c r="E25" s="249">
        <v>0.2</v>
      </c>
      <c r="F25" s="249"/>
      <c r="G25" s="259">
        <f>1+1</f>
        <v>2</v>
      </c>
      <c r="H25" s="251"/>
      <c r="I25" s="249"/>
      <c r="J25" s="249">
        <f t="shared" si="4"/>
        <v>8.0000000000000016E-2</v>
      </c>
      <c r="K25" s="252"/>
      <c r="M25" s="260">
        <v>2</v>
      </c>
      <c r="N25" s="261">
        <f t="shared" ref="N25" si="8">M25-G25</f>
        <v>0</v>
      </c>
      <c r="O25" s="255">
        <f t="shared" ref="O25" si="9">N25/M25</f>
        <v>0</v>
      </c>
    </row>
    <row r="26" spans="1:15" x14ac:dyDescent="0.2">
      <c r="A26" s="190" t="s">
        <v>106</v>
      </c>
      <c r="B26" s="191"/>
      <c r="C26" s="249">
        <v>0.2</v>
      </c>
      <c r="D26" s="249">
        <v>0.2</v>
      </c>
      <c r="E26" s="249">
        <v>0.2</v>
      </c>
      <c r="F26" s="249"/>
      <c r="G26" s="259">
        <f>1+1</f>
        <v>2</v>
      </c>
      <c r="H26" s="251"/>
      <c r="I26" s="249"/>
      <c r="J26" s="249">
        <f t="shared" ref="J26" si="10">C26*E26*D26*G26</f>
        <v>1.6000000000000004E-2</v>
      </c>
      <c r="K26" s="252"/>
      <c r="M26" s="260">
        <v>2</v>
      </c>
      <c r="N26" s="261">
        <f t="shared" si="5"/>
        <v>0</v>
      </c>
      <c r="O26" s="255">
        <f t="shared" si="6"/>
        <v>0</v>
      </c>
    </row>
    <row r="27" spans="1:15" x14ac:dyDescent="0.2">
      <c r="A27" s="188" t="s">
        <v>27</v>
      </c>
      <c r="B27" s="189" t="s">
        <v>43</v>
      </c>
      <c r="C27" s="242"/>
      <c r="D27" s="242"/>
      <c r="E27" s="242"/>
      <c r="F27" s="242"/>
      <c r="G27" s="265"/>
      <c r="H27" s="256"/>
      <c r="I27" s="242">
        <f>SUM(I28:I28)</f>
        <v>0.48</v>
      </c>
      <c r="J27" s="258">
        <f>SUM(J28:J28)</f>
        <v>7.1999999999999995E-2</v>
      </c>
      <c r="K27" s="245"/>
      <c r="M27" s="266">
        <v>0.1</v>
      </c>
      <c r="N27" s="267">
        <f>M27-I27</f>
        <v>-0.38</v>
      </c>
      <c r="O27" s="248">
        <f>N27/M27</f>
        <v>-3.8</v>
      </c>
    </row>
    <row r="28" spans="1:15" x14ac:dyDescent="0.2">
      <c r="A28" s="190" t="s">
        <v>119</v>
      </c>
      <c r="B28" s="194"/>
      <c r="C28" s="254">
        <f>0.2+0.8+0.2</f>
        <v>1.2</v>
      </c>
      <c r="D28" s="249">
        <v>0.15</v>
      </c>
      <c r="E28" s="249"/>
      <c r="F28" s="249">
        <v>0.2</v>
      </c>
      <c r="G28" s="259">
        <v>2</v>
      </c>
      <c r="H28" s="251"/>
      <c r="I28" s="249">
        <f>C28*F28*G28</f>
        <v>0.48</v>
      </c>
      <c r="J28" s="249">
        <f>I28*D28</f>
        <v>7.1999999999999995E-2</v>
      </c>
      <c r="K28" s="268"/>
      <c r="L28" s="269"/>
      <c r="M28" s="270"/>
      <c r="N28" s="271"/>
      <c r="O28" s="272"/>
    </row>
    <row r="29" spans="1:15" x14ac:dyDescent="0.2">
      <c r="A29" s="188" t="s">
        <v>86</v>
      </c>
      <c r="B29" s="189" t="s">
        <v>35</v>
      </c>
      <c r="C29" s="242"/>
      <c r="D29" s="242"/>
      <c r="E29" s="242"/>
      <c r="F29" s="242"/>
      <c r="G29" s="257"/>
      <c r="H29" s="256"/>
      <c r="I29" s="258">
        <f>SUM(I31:I36)</f>
        <v>29.318299999999997</v>
      </c>
      <c r="J29" s="244">
        <f>SUM(J31:J36)</f>
        <v>0.11727319999999999</v>
      </c>
      <c r="K29" s="245"/>
      <c r="M29" s="266">
        <f>M30+M33</f>
        <v>29.23</v>
      </c>
      <c r="N29" s="267">
        <f>M29-I29</f>
        <v>-8.8299999999996714E-2</v>
      </c>
      <c r="O29" s="248">
        <f>N29/M29</f>
        <v>-3.0208689702359466E-3</v>
      </c>
    </row>
    <row r="30" spans="1:15" x14ac:dyDescent="0.2">
      <c r="A30" s="195" t="s">
        <v>108</v>
      </c>
      <c r="B30" s="196"/>
      <c r="C30" s="273"/>
      <c r="D30" s="273"/>
      <c r="E30" s="273"/>
      <c r="F30" s="273"/>
      <c r="G30" s="274"/>
      <c r="H30" s="275"/>
      <c r="I30" s="273"/>
      <c r="J30" s="273"/>
      <c r="K30" s="276"/>
      <c r="L30" s="277"/>
      <c r="M30" s="278">
        <v>9.4499999999999993</v>
      </c>
      <c r="N30" s="279">
        <f>M30-SUM(I31:I32)</f>
        <v>1.5999999999998238E-3</v>
      </c>
      <c r="O30" s="280">
        <f>N30/M30</f>
        <v>1.6931216931215067E-4</v>
      </c>
    </row>
    <row r="31" spans="1:15" x14ac:dyDescent="0.2">
      <c r="A31" s="197" t="s">
        <v>91</v>
      </c>
      <c r="B31" s="198"/>
      <c r="C31" s="281">
        <v>1.57</v>
      </c>
      <c r="D31" s="281">
        <v>2.99</v>
      </c>
      <c r="E31" s="281">
        <v>4.0000000000000001E-3</v>
      </c>
      <c r="F31" s="262"/>
      <c r="G31" s="282"/>
      <c r="H31" s="262"/>
      <c r="I31" s="262">
        <f>C31*D31</f>
        <v>4.6943000000000001</v>
      </c>
      <c r="J31" s="281">
        <f>I31*E31</f>
        <v>1.8777200000000001E-2</v>
      </c>
      <c r="K31" s="283"/>
      <c r="M31" s="253"/>
      <c r="N31" s="254"/>
      <c r="O31" s="255"/>
    </row>
    <row r="32" spans="1:15" x14ac:dyDescent="0.2">
      <c r="A32" s="197" t="s">
        <v>92</v>
      </c>
      <c r="B32" s="198"/>
      <c r="C32" s="281">
        <v>1.59</v>
      </c>
      <c r="D32" s="281">
        <v>2.99</v>
      </c>
      <c r="E32" s="281">
        <v>4.0000000000000001E-3</v>
      </c>
      <c r="F32" s="262"/>
      <c r="G32" s="282"/>
      <c r="H32" s="262"/>
      <c r="I32" s="262">
        <f>C32*D32</f>
        <v>4.7541000000000002</v>
      </c>
      <c r="J32" s="281">
        <f>I32*E32</f>
        <v>1.9016400000000003E-2</v>
      </c>
      <c r="K32" s="283"/>
      <c r="M32" s="253"/>
      <c r="N32" s="254" t="s">
        <v>41</v>
      </c>
      <c r="O32" s="255"/>
    </row>
    <row r="33" spans="1:15" x14ac:dyDescent="0.2">
      <c r="A33" s="195" t="s">
        <v>109</v>
      </c>
      <c r="B33" s="196"/>
      <c r="C33" s="273"/>
      <c r="D33" s="273"/>
      <c r="E33" s="279"/>
      <c r="F33" s="273"/>
      <c r="G33" s="274"/>
      <c r="H33" s="275"/>
      <c r="I33" s="273"/>
      <c r="J33" s="273"/>
      <c r="K33" s="276"/>
      <c r="L33" s="277"/>
      <c r="M33" s="278">
        <v>19.78</v>
      </c>
      <c r="N33" s="279">
        <f>M33-SUM(I34:I36)</f>
        <v>-8.9900000000000091E-2</v>
      </c>
      <c r="O33" s="280">
        <f>N33/M33</f>
        <v>-4.5449949443882752E-3</v>
      </c>
    </row>
    <row r="34" spans="1:15" x14ac:dyDescent="0.2">
      <c r="A34" s="199" t="s">
        <v>249</v>
      </c>
      <c r="B34" s="200"/>
      <c r="C34" s="284">
        <v>8.1300000000000008</v>
      </c>
      <c r="D34" s="284">
        <v>2.96</v>
      </c>
      <c r="E34" s="285">
        <v>4.0000000000000001E-3</v>
      </c>
      <c r="F34" s="284"/>
      <c r="G34" s="282"/>
      <c r="H34" s="284"/>
      <c r="I34" s="262">
        <f>C34*D34</f>
        <v>24.064800000000002</v>
      </c>
      <c r="J34" s="262">
        <f t="shared" ref="J34:J35" si="11">I34*E34</f>
        <v>9.6259200000000003E-2</v>
      </c>
      <c r="K34" s="283"/>
      <c r="M34" s="253"/>
      <c r="N34" s="254" t="s">
        <v>41</v>
      </c>
      <c r="O34" s="255"/>
    </row>
    <row r="35" spans="1:15" x14ac:dyDescent="0.2">
      <c r="A35" s="201" t="s">
        <v>98</v>
      </c>
      <c r="B35" s="202"/>
      <c r="C35" s="286">
        <v>0.87</v>
      </c>
      <c r="D35" s="286">
        <f>2.135</f>
        <v>2.1349999999999998</v>
      </c>
      <c r="E35" s="287">
        <v>4.0000000000000001E-3</v>
      </c>
      <c r="F35" s="288"/>
      <c r="G35" s="289">
        <v>2</v>
      </c>
      <c r="H35" s="288"/>
      <c r="I35" s="290">
        <f>C35*D35*G35*-1</f>
        <v>-3.7148999999999996</v>
      </c>
      <c r="J35" s="286">
        <f t="shared" si="11"/>
        <v>-1.4859599999999999E-2</v>
      </c>
      <c r="K35" s="291"/>
      <c r="M35" s="253"/>
      <c r="N35" s="254" t="s">
        <v>41</v>
      </c>
      <c r="O35" s="255"/>
    </row>
    <row r="36" spans="1:15" x14ac:dyDescent="0.2">
      <c r="A36" s="201" t="s">
        <v>250</v>
      </c>
      <c r="B36" s="202"/>
      <c r="C36" s="286">
        <f>0.2+0.8+0.2</f>
        <v>1.2</v>
      </c>
      <c r="D36" s="286">
        <v>0.2</v>
      </c>
      <c r="E36" s="287">
        <v>4.0000000000000001E-3</v>
      </c>
      <c r="F36" s="288"/>
      <c r="G36" s="289">
        <v>2</v>
      </c>
      <c r="H36" s="288"/>
      <c r="I36" s="290">
        <f>C36*D36*G36*-1</f>
        <v>-0.48</v>
      </c>
      <c r="J36" s="286">
        <f>I36*E36</f>
        <v>-1.92E-3</v>
      </c>
      <c r="K36" s="291"/>
      <c r="M36" s="253"/>
      <c r="N36" s="254" t="s">
        <v>41</v>
      </c>
      <c r="O36" s="255"/>
    </row>
    <row r="37" spans="1:15" ht="38.25" x14ac:dyDescent="0.2">
      <c r="A37" s="188" t="s">
        <v>29</v>
      </c>
      <c r="B37" s="189" t="s">
        <v>35</v>
      </c>
      <c r="C37" s="242"/>
      <c r="D37" s="242"/>
      <c r="E37" s="242"/>
      <c r="F37" s="242"/>
      <c r="G37" s="265"/>
      <c r="H37" s="256"/>
      <c r="I37" s="258">
        <f>SUM(I38:I54)</f>
        <v>42.69380000000001</v>
      </c>
      <c r="J37" s="244">
        <f>SUM(J38:J54)</f>
        <v>0.18896800000000002</v>
      </c>
      <c r="K37" s="292" t="s">
        <v>30</v>
      </c>
      <c r="M37" s="266">
        <f>M38+M52</f>
        <v>42.34</v>
      </c>
      <c r="N37" s="267">
        <f>M37-I37</f>
        <v>-0.35380000000000678</v>
      </c>
      <c r="O37" s="248">
        <f>N37/M37</f>
        <v>-8.3561643835618031E-3</v>
      </c>
    </row>
    <row r="38" spans="1:15" x14ac:dyDescent="0.2">
      <c r="A38" s="195" t="s">
        <v>44</v>
      </c>
      <c r="B38" s="196"/>
      <c r="C38" s="273"/>
      <c r="D38" s="273"/>
      <c r="E38" s="273"/>
      <c r="F38" s="273"/>
      <c r="G38" s="274"/>
      <c r="H38" s="275"/>
      <c r="I38" s="273"/>
      <c r="J38" s="273"/>
      <c r="K38" s="276"/>
      <c r="L38" s="277"/>
      <c r="M38" s="278">
        <v>32.89</v>
      </c>
      <c r="N38" s="279">
        <f>M38-SUM(I39:I51)</f>
        <v>-0.35540000000001015</v>
      </c>
      <c r="O38" s="280">
        <f>N38/M38</f>
        <v>-1.0805716023107636E-2</v>
      </c>
    </row>
    <row r="39" spans="1:15" x14ac:dyDescent="0.2">
      <c r="A39" s="199" t="s">
        <v>97</v>
      </c>
      <c r="B39" s="200"/>
      <c r="C39" s="284"/>
      <c r="D39" s="284"/>
      <c r="E39" s="284"/>
      <c r="F39" s="284"/>
      <c r="G39" s="282"/>
      <c r="H39" s="284"/>
      <c r="I39" s="262"/>
      <c r="J39" s="281"/>
      <c r="K39" s="283"/>
      <c r="M39" s="253"/>
      <c r="N39" s="254" t="s">
        <v>41</v>
      </c>
      <c r="O39" s="255"/>
    </row>
    <row r="40" spans="1:15" x14ac:dyDescent="0.2">
      <c r="A40" s="203" t="s">
        <v>31</v>
      </c>
      <c r="B40" s="198"/>
      <c r="C40" s="262">
        <v>1.57</v>
      </c>
      <c r="D40" s="262">
        <v>2.0099999999999998</v>
      </c>
      <c r="E40" s="262"/>
      <c r="F40" s="262"/>
      <c r="G40" s="282"/>
      <c r="H40" s="262"/>
      <c r="I40" s="262">
        <f>C40*D40</f>
        <v>3.1556999999999999</v>
      </c>
      <c r="J40" s="281"/>
      <c r="K40" s="283"/>
      <c r="M40" s="253"/>
      <c r="N40" s="254" t="s">
        <v>41</v>
      </c>
      <c r="O40" s="255"/>
    </row>
    <row r="41" spans="1:15" x14ac:dyDescent="0.2">
      <c r="A41" s="201" t="s">
        <v>98</v>
      </c>
      <c r="B41" s="202"/>
      <c r="C41" s="286">
        <v>0.87</v>
      </c>
      <c r="D41" s="286">
        <v>2.0099999999999998</v>
      </c>
      <c r="E41" s="288"/>
      <c r="F41" s="288"/>
      <c r="G41" s="289">
        <v>1</v>
      </c>
      <c r="H41" s="288"/>
      <c r="I41" s="290">
        <f>C41*D41*G41*-1</f>
        <v>-1.7486999999999997</v>
      </c>
      <c r="J41" s="288"/>
      <c r="K41" s="291"/>
      <c r="M41" s="253"/>
      <c r="N41" s="254" t="s">
        <v>41</v>
      </c>
      <c r="O41" s="255"/>
    </row>
    <row r="42" spans="1:15" x14ac:dyDescent="0.2">
      <c r="A42" s="203" t="s">
        <v>28</v>
      </c>
      <c r="B42" s="198"/>
      <c r="C42" s="262">
        <v>1.57</v>
      </c>
      <c r="D42" s="262">
        <v>2.0099999999999998</v>
      </c>
      <c r="E42" s="262"/>
      <c r="F42" s="262"/>
      <c r="G42" s="282"/>
      <c r="H42" s="262"/>
      <c r="I42" s="262">
        <f>C42*D42</f>
        <v>3.1556999999999999</v>
      </c>
      <c r="J42" s="281"/>
      <c r="K42" s="283"/>
      <c r="M42" s="253"/>
      <c r="N42" s="254" t="s">
        <v>41</v>
      </c>
      <c r="O42" s="255"/>
    </row>
    <row r="43" spans="1:15" x14ac:dyDescent="0.2">
      <c r="A43" s="203" t="s">
        <v>18</v>
      </c>
      <c r="B43" s="198"/>
      <c r="C43" s="262">
        <v>2.99</v>
      </c>
      <c r="D43" s="262">
        <v>2.0099999999999998</v>
      </c>
      <c r="E43" s="262"/>
      <c r="F43" s="262"/>
      <c r="G43" s="282"/>
      <c r="H43" s="262"/>
      <c r="I43" s="262">
        <f t="shared" ref="I43:I44" si="12">C43*D43</f>
        <v>6.0099</v>
      </c>
      <c r="J43" s="281"/>
      <c r="K43" s="283"/>
      <c r="M43" s="253"/>
      <c r="N43" s="254" t="s">
        <v>41</v>
      </c>
      <c r="O43" s="255"/>
    </row>
    <row r="44" spans="1:15" x14ac:dyDescent="0.2">
      <c r="A44" s="203" t="s">
        <v>19</v>
      </c>
      <c r="B44" s="198"/>
      <c r="C44" s="262">
        <v>2.99</v>
      </c>
      <c r="D44" s="262">
        <v>2.0099999999999998</v>
      </c>
      <c r="E44" s="262"/>
      <c r="F44" s="262"/>
      <c r="G44" s="263"/>
      <c r="H44" s="262"/>
      <c r="I44" s="262">
        <f t="shared" si="12"/>
        <v>6.0099</v>
      </c>
      <c r="J44" s="281"/>
      <c r="K44" s="283"/>
      <c r="M44" s="253"/>
      <c r="N44" s="254" t="s">
        <v>41</v>
      </c>
      <c r="O44" s="255"/>
    </row>
    <row r="45" spans="1:15" x14ac:dyDescent="0.2">
      <c r="A45" s="199" t="s">
        <v>96</v>
      </c>
      <c r="B45" s="200"/>
      <c r="C45" s="284"/>
      <c r="D45" s="284"/>
      <c r="E45" s="284"/>
      <c r="F45" s="284"/>
      <c r="G45" s="282"/>
      <c r="H45" s="284"/>
      <c r="I45" s="262"/>
      <c r="J45" s="281"/>
      <c r="K45" s="283"/>
      <c r="M45" s="253"/>
      <c r="N45" s="254" t="s">
        <v>41</v>
      </c>
      <c r="O45" s="255"/>
    </row>
    <row r="46" spans="1:15" x14ac:dyDescent="0.2">
      <c r="A46" s="203" t="s">
        <v>31</v>
      </c>
      <c r="B46" s="198"/>
      <c r="C46" s="262">
        <v>1.59</v>
      </c>
      <c r="D46" s="262">
        <v>2.0099999999999998</v>
      </c>
      <c r="E46" s="262"/>
      <c r="F46" s="262"/>
      <c r="G46" s="282"/>
      <c r="H46" s="262"/>
      <c r="I46" s="262">
        <f>C46*D46</f>
        <v>3.1959</v>
      </c>
      <c r="J46" s="281"/>
      <c r="K46" s="283"/>
      <c r="M46" s="253"/>
      <c r="N46" s="254" t="s">
        <v>41</v>
      </c>
      <c r="O46" s="255"/>
    </row>
    <row r="47" spans="1:15" x14ac:dyDescent="0.2">
      <c r="A47" s="203"/>
      <c r="B47" s="198"/>
      <c r="C47" s="262"/>
      <c r="D47" s="262"/>
      <c r="E47" s="262"/>
      <c r="F47" s="262"/>
      <c r="G47" s="282"/>
      <c r="H47" s="262"/>
      <c r="I47" s="262"/>
      <c r="J47" s="281"/>
      <c r="K47" s="283"/>
      <c r="M47" s="253"/>
      <c r="N47" s="254"/>
      <c r="O47" s="255"/>
    </row>
    <row r="48" spans="1:15" x14ac:dyDescent="0.2">
      <c r="A48" s="201" t="s">
        <v>98</v>
      </c>
      <c r="B48" s="202"/>
      <c r="C48" s="286">
        <v>0.87</v>
      </c>
      <c r="D48" s="286">
        <v>2.0099999999999998</v>
      </c>
      <c r="E48" s="288"/>
      <c r="F48" s="288"/>
      <c r="G48" s="289">
        <v>1</v>
      </c>
      <c r="H48" s="288"/>
      <c r="I48" s="290">
        <f>C48*D48*G48*-1</f>
        <v>-1.7486999999999997</v>
      </c>
      <c r="J48" s="288"/>
      <c r="K48" s="291"/>
      <c r="M48" s="253"/>
      <c r="N48" s="254" t="s">
        <v>41</v>
      </c>
      <c r="O48" s="255"/>
    </row>
    <row r="49" spans="1:15" x14ac:dyDescent="0.2">
      <c r="A49" s="203" t="s">
        <v>28</v>
      </c>
      <c r="B49" s="198"/>
      <c r="C49" s="262">
        <v>1.59</v>
      </c>
      <c r="D49" s="262">
        <v>2.0099999999999998</v>
      </c>
      <c r="E49" s="262"/>
      <c r="F49" s="262"/>
      <c r="G49" s="282"/>
      <c r="H49" s="262"/>
      <c r="I49" s="262">
        <f>C49*D49</f>
        <v>3.1959</v>
      </c>
      <c r="J49" s="281"/>
      <c r="K49" s="283"/>
      <c r="M49" s="253"/>
      <c r="N49" s="254" t="s">
        <v>41</v>
      </c>
      <c r="O49" s="255"/>
    </row>
    <row r="50" spans="1:15" x14ac:dyDescent="0.2">
      <c r="A50" s="203" t="s">
        <v>18</v>
      </c>
      <c r="B50" s="198"/>
      <c r="C50" s="262">
        <v>2.99</v>
      </c>
      <c r="D50" s="262">
        <v>2.0099999999999998</v>
      </c>
      <c r="E50" s="262"/>
      <c r="F50" s="262"/>
      <c r="G50" s="282"/>
      <c r="H50" s="262"/>
      <c r="I50" s="262">
        <f t="shared" ref="I50:I51" si="13">C50*D50</f>
        <v>6.0099</v>
      </c>
      <c r="J50" s="281"/>
      <c r="K50" s="283"/>
      <c r="M50" s="253"/>
      <c r="N50" s="254" t="s">
        <v>41</v>
      </c>
      <c r="O50" s="255"/>
    </row>
    <row r="51" spans="1:15" x14ac:dyDescent="0.2">
      <c r="A51" s="203" t="s">
        <v>19</v>
      </c>
      <c r="B51" s="198"/>
      <c r="C51" s="262">
        <v>2.99</v>
      </c>
      <c r="D51" s="262">
        <v>2.0099999999999998</v>
      </c>
      <c r="E51" s="262"/>
      <c r="F51" s="262"/>
      <c r="G51" s="263"/>
      <c r="H51" s="262"/>
      <c r="I51" s="262">
        <f t="shared" si="13"/>
        <v>6.0099</v>
      </c>
      <c r="J51" s="281"/>
      <c r="K51" s="283"/>
      <c r="M51" s="253"/>
      <c r="N51" s="254"/>
      <c r="O51" s="255"/>
    </row>
    <row r="52" spans="1:15" x14ac:dyDescent="0.2">
      <c r="A52" s="195" t="s">
        <v>46</v>
      </c>
      <c r="B52" s="196"/>
      <c r="C52" s="273"/>
      <c r="D52" s="273"/>
      <c r="E52" s="273"/>
      <c r="F52" s="273"/>
      <c r="G52" s="274"/>
      <c r="H52" s="275"/>
      <c r="I52" s="273"/>
      <c r="J52" s="273"/>
      <c r="K52" s="276"/>
      <c r="L52" s="277"/>
      <c r="M52" s="278">
        <v>9.4499999999999993</v>
      </c>
      <c r="N52" s="279">
        <f>M52-SUM(I53:I54)</f>
        <v>1.5999999999998238E-3</v>
      </c>
      <c r="O52" s="280">
        <f>N52/M52</f>
        <v>1.6931216931215067E-4</v>
      </c>
    </row>
    <row r="53" spans="1:15" x14ac:dyDescent="0.2">
      <c r="A53" s="190" t="s">
        <v>91</v>
      </c>
      <c r="B53" s="191"/>
      <c r="C53" s="249">
        <v>1.57</v>
      </c>
      <c r="D53" s="249">
        <v>2.99</v>
      </c>
      <c r="E53" s="262">
        <v>0.02</v>
      </c>
      <c r="F53" s="249"/>
      <c r="G53" s="293"/>
      <c r="H53" s="251"/>
      <c r="I53" s="249">
        <f t="shared" ref="I53:I54" si="14">C53*D53</f>
        <v>4.6943000000000001</v>
      </c>
      <c r="J53" s="249">
        <f t="shared" ref="J53:J54" si="15">I53*E53</f>
        <v>9.3886000000000011E-2</v>
      </c>
      <c r="K53" s="252"/>
      <c r="M53" s="253"/>
      <c r="N53" s="254"/>
      <c r="O53" s="255"/>
    </row>
    <row r="54" spans="1:15" x14ac:dyDescent="0.2">
      <c r="A54" s="190" t="s">
        <v>92</v>
      </c>
      <c r="B54" s="191"/>
      <c r="C54" s="249">
        <v>1.59</v>
      </c>
      <c r="D54" s="249">
        <v>2.99</v>
      </c>
      <c r="E54" s="262">
        <v>0.02</v>
      </c>
      <c r="F54" s="249"/>
      <c r="G54" s="293"/>
      <c r="H54" s="251"/>
      <c r="I54" s="249">
        <f t="shared" si="14"/>
        <v>4.7541000000000002</v>
      </c>
      <c r="J54" s="249">
        <f t="shared" si="15"/>
        <v>9.5082E-2</v>
      </c>
      <c r="K54" s="252"/>
      <c r="M54" s="253"/>
      <c r="N54" s="254"/>
      <c r="O54" s="255"/>
    </row>
    <row r="55" spans="1:15" ht="25.5" x14ac:dyDescent="0.2">
      <c r="A55" s="188" t="s">
        <v>32</v>
      </c>
      <c r="B55" s="189" t="s">
        <v>35</v>
      </c>
      <c r="C55" s="242"/>
      <c r="D55" s="242"/>
      <c r="E55" s="242"/>
      <c r="F55" s="242"/>
      <c r="G55" s="265"/>
      <c r="H55" s="256"/>
      <c r="I55" s="258">
        <f>SUM(I56:I57)</f>
        <v>9.8172000000000015</v>
      </c>
      <c r="J55" s="244">
        <f>SUM(J56:J57)</f>
        <v>0.49086000000000007</v>
      </c>
      <c r="K55" s="292" t="s">
        <v>90</v>
      </c>
      <c r="M55" s="266">
        <v>9.91</v>
      </c>
      <c r="N55" s="267">
        <f>M55-I55</f>
        <v>9.2799999999998661E-2</v>
      </c>
      <c r="O55" s="248">
        <f>N55/M55</f>
        <v>9.3642785065588957E-3</v>
      </c>
    </row>
    <row r="56" spans="1:15" x14ac:dyDescent="0.2">
      <c r="A56" s="190" t="s">
        <v>91</v>
      </c>
      <c r="B56" s="191"/>
      <c r="C56" s="249">
        <f>1.57+0.04</f>
        <v>1.61</v>
      </c>
      <c r="D56" s="249">
        <f>0.04+2.99</f>
        <v>3.0300000000000002</v>
      </c>
      <c r="E56" s="249">
        <v>0.05</v>
      </c>
      <c r="F56" s="249"/>
      <c r="G56" s="293"/>
      <c r="H56" s="251"/>
      <c r="I56" s="249">
        <f t="shared" ref="I56:I57" si="16">(C56*D56)</f>
        <v>4.8783000000000003</v>
      </c>
      <c r="J56" s="249">
        <f t="shared" ref="J56:J57" si="17">I56*E56</f>
        <v>0.24391500000000002</v>
      </c>
      <c r="K56" s="252"/>
      <c r="M56" s="253"/>
      <c r="N56" s="254" t="s">
        <v>41</v>
      </c>
      <c r="O56" s="255"/>
    </row>
    <row r="57" spans="1:15" x14ac:dyDescent="0.2">
      <c r="A57" s="190" t="s">
        <v>92</v>
      </c>
      <c r="B57" s="191"/>
      <c r="C57" s="249">
        <f>0.04+1.59</f>
        <v>1.6300000000000001</v>
      </c>
      <c r="D57" s="249">
        <f>0.04+2.99</f>
        <v>3.0300000000000002</v>
      </c>
      <c r="E57" s="249">
        <v>0.05</v>
      </c>
      <c r="F57" s="249"/>
      <c r="G57" s="293"/>
      <c r="H57" s="251"/>
      <c r="I57" s="249">
        <f t="shared" si="16"/>
        <v>4.9389000000000012</v>
      </c>
      <c r="J57" s="249">
        <f t="shared" si="17"/>
        <v>0.24694500000000008</v>
      </c>
      <c r="K57" s="252"/>
      <c r="M57" s="253"/>
      <c r="N57" s="254"/>
      <c r="O57" s="255"/>
    </row>
    <row r="58" spans="1:15" x14ac:dyDescent="0.2">
      <c r="A58" s="188" t="s">
        <v>94</v>
      </c>
      <c r="B58" s="189" t="s">
        <v>35</v>
      </c>
      <c r="C58" s="242"/>
      <c r="D58" s="242"/>
      <c r="E58" s="242"/>
      <c r="F58" s="242"/>
      <c r="G58" s="257"/>
      <c r="H58" s="258">
        <f>SUM(H59:H60)</f>
        <v>1.88</v>
      </c>
      <c r="I58" s="242">
        <f>SUM(I59:I60)</f>
        <v>0.28199999999999997</v>
      </c>
      <c r="J58" s="244">
        <f>SUM(J59:J60)</f>
        <v>8.4599999999999988E-3</v>
      </c>
      <c r="K58" s="245"/>
      <c r="M58" s="266">
        <f>0.28/0.15</f>
        <v>1.8666666666666669</v>
      </c>
      <c r="N58" s="242">
        <f>M58-H58</f>
        <v>-1.3333333333332975E-2</v>
      </c>
      <c r="O58" s="248">
        <f>N58/M58</f>
        <v>-7.1428571428569501E-3</v>
      </c>
    </row>
    <row r="59" spans="1:15" x14ac:dyDescent="0.2">
      <c r="A59" s="190" t="s">
        <v>91</v>
      </c>
      <c r="B59" s="191"/>
      <c r="C59" s="262">
        <v>0.94</v>
      </c>
      <c r="D59" s="262">
        <v>0.15</v>
      </c>
      <c r="E59" s="262">
        <v>0.03</v>
      </c>
      <c r="F59" s="249"/>
      <c r="G59" s="259">
        <v>1</v>
      </c>
      <c r="H59" s="249">
        <f t="shared" ref="H59:J60" si="18">G59*C59</f>
        <v>0.94</v>
      </c>
      <c r="I59" s="249">
        <f t="shared" si="18"/>
        <v>0.14099999999999999</v>
      </c>
      <c r="J59" s="249">
        <f t="shared" si="18"/>
        <v>4.2299999999999994E-3</v>
      </c>
      <c r="K59" s="252"/>
      <c r="M59" s="253"/>
      <c r="N59" s="254" t="s">
        <v>41</v>
      </c>
      <c r="O59" s="255"/>
    </row>
    <row r="60" spans="1:15" x14ac:dyDescent="0.2">
      <c r="A60" s="190" t="s">
        <v>92</v>
      </c>
      <c r="B60" s="191"/>
      <c r="C60" s="262">
        <v>0.94</v>
      </c>
      <c r="D60" s="262">
        <v>0.15</v>
      </c>
      <c r="E60" s="262">
        <v>0.03</v>
      </c>
      <c r="F60" s="249"/>
      <c r="G60" s="259">
        <v>1</v>
      </c>
      <c r="H60" s="249">
        <f t="shared" si="18"/>
        <v>0.94</v>
      </c>
      <c r="I60" s="249">
        <f t="shared" si="18"/>
        <v>0.14099999999999999</v>
      </c>
      <c r="J60" s="249">
        <f t="shared" si="18"/>
        <v>4.2299999999999994E-3</v>
      </c>
      <c r="K60" s="252"/>
      <c r="M60" s="253"/>
      <c r="N60" s="254"/>
      <c r="O60" s="255"/>
    </row>
    <row r="61" spans="1:15" x14ac:dyDescent="0.2">
      <c r="A61" s="204" t="s">
        <v>33</v>
      </c>
      <c r="B61" s="205" t="s">
        <v>43</v>
      </c>
      <c r="C61" s="294"/>
      <c r="D61" s="295">
        <v>0.3</v>
      </c>
      <c r="E61" s="296" t="s">
        <v>251</v>
      </c>
      <c r="F61" s="294"/>
      <c r="G61" s="297"/>
      <c r="H61" s="298"/>
      <c r="I61" s="294"/>
      <c r="J61" s="299">
        <f>SUM(J3,J6,J10,J12,J16,J18,J58,J29,J27,J37,J55)*(1+D61)</f>
        <v>2.4509136600000003</v>
      </c>
      <c r="K61" s="300"/>
      <c r="M61" s="266"/>
      <c r="N61" s="267"/>
      <c r="O61" s="248"/>
    </row>
    <row r="62" spans="1:15" ht="13.5" thickBot="1" x14ac:dyDescent="0.25">
      <c r="A62" s="206" t="s">
        <v>34</v>
      </c>
      <c r="B62" s="207" t="s">
        <v>47</v>
      </c>
      <c r="C62" s="301"/>
      <c r="D62" s="301">
        <v>14.1</v>
      </c>
      <c r="E62" s="302" t="s">
        <v>252</v>
      </c>
      <c r="F62" s="301"/>
      <c r="G62" s="303"/>
      <c r="H62" s="304"/>
      <c r="I62" s="304"/>
      <c r="J62" s="305">
        <f>J61*D62</f>
        <v>34.557882606000007</v>
      </c>
      <c r="K62" s="306"/>
      <c r="M62" s="307"/>
      <c r="N62" s="308"/>
      <c r="O62" s="309"/>
    </row>
    <row r="63" spans="1:15" ht="13.5" thickBot="1" x14ac:dyDescent="0.25"/>
    <row r="64" spans="1:15" ht="13.5" thickBot="1" x14ac:dyDescent="0.25">
      <c r="A64" s="208" t="s">
        <v>113</v>
      </c>
      <c r="B64" s="209"/>
      <c r="C64" s="210" t="s">
        <v>2</v>
      </c>
      <c r="D64" s="210" t="s">
        <v>3</v>
      </c>
      <c r="E64" s="210" t="s">
        <v>4</v>
      </c>
      <c r="F64" s="210" t="s">
        <v>5</v>
      </c>
      <c r="G64" s="211" t="s">
        <v>1</v>
      </c>
      <c r="H64" s="210" t="s">
        <v>6</v>
      </c>
      <c r="I64" s="210" t="s">
        <v>7</v>
      </c>
      <c r="J64" s="210" t="s">
        <v>8</v>
      </c>
      <c r="K64" s="212" t="s">
        <v>9</v>
      </c>
    </row>
    <row r="65" spans="1:17" x14ac:dyDescent="0.2">
      <c r="A65" s="213" t="s">
        <v>114</v>
      </c>
      <c r="B65" s="214" t="s">
        <v>35</v>
      </c>
      <c r="C65" s="310"/>
      <c r="D65" s="310"/>
      <c r="E65" s="310"/>
      <c r="F65" s="310"/>
      <c r="G65" s="311"/>
      <c r="H65" s="310"/>
      <c r="I65" s="312">
        <f>SUM(I66:I67)</f>
        <v>0.35952000000000006</v>
      </c>
      <c r="J65" s="313"/>
      <c r="K65" s="292"/>
      <c r="M65" s="314">
        <v>0.36</v>
      </c>
      <c r="N65" s="315">
        <f>M65-I65</f>
        <v>4.7999999999992493E-4</v>
      </c>
      <c r="O65" s="316">
        <f>N65/M65</f>
        <v>1.3333333333331249E-3</v>
      </c>
    </row>
    <row r="66" spans="1:17" x14ac:dyDescent="0.2">
      <c r="A66" s="199" t="s">
        <v>91</v>
      </c>
      <c r="B66" s="200"/>
      <c r="C66" s="285">
        <v>8.4000000000000005E-2</v>
      </c>
      <c r="D66" s="284"/>
      <c r="E66" s="284"/>
      <c r="F66" s="284">
        <v>2.14</v>
      </c>
      <c r="G66" s="282"/>
      <c r="H66" s="284"/>
      <c r="I66" s="281">
        <f>C66*F66</f>
        <v>0.17976000000000003</v>
      </c>
      <c r="J66" s="281"/>
      <c r="K66" s="283"/>
      <c r="M66" s="253"/>
      <c r="N66" s="254"/>
      <c r="O66" s="255"/>
    </row>
    <row r="67" spans="1:17" x14ac:dyDescent="0.2">
      <c r="A67" s="199" t="s">
        <v>92</v>
      </c>
      <c r="B67" s="198"/>
      <c r="C67" s="262">
        <v>8.4000000000000005E-2</v>
      </c>
      <c r="D67" s="262"/>
      <c r="E67" s="262"/>
      <c r="F67" s="262">
        <v>2.14</v>
      </c>
      <c r="G67" s="282"/>
      <c r="H67" s="262"/>
      <c r="I67" s="262">
        <f>C67*F67</f>
        <v>0.17976000000000003</v>
      </c>
      <c r="J67" s="281"/>
      <c r="K67" s="283"/>
      <c r="M67" s="253"/>
      <c r="N67" s="254"/>
      <c r="O67" s="255"/>
    </row>
    <row r="68" spans="1:17" x14ac:dyDescent="0.2">
      <c r="A68" s="215" t="s">
        <v>243</v>
      </c>
      <c r="B68" s="216" t="s">
        <v>126</v>
      </c>
      <c r="C68" s="317"/>
      <c r="D68" s="317"/>
      <c r="E68" s="317"/>
      <c r="F68" s="317"/>
      <c r="G68" s="311"/>
      <c r="H68" s="318">
        <f>SUM(H69:H69)</f>
        <v>2.4</v>
      </c>
      <c r="I68" s="313"/>
      <c r="J68" s="313"/>
      <c r="K68" s="292"/>
      <c r="M68" s="266">
        <f>1.2+1.2</f>
        <v>2.4</v>
      </c>
      <c r="N68" s="267">
        <f>M68-H68</f>
        <v>0</v>
      </c>
      <c r="O68" s="248">
        <f>N68/M68</f>
        <v>0</v>
      </c>
    </row>
    <row r="69" spans="1:17" ht="13.5" thickBot="1" x14ac:dyDescent="0.25">
      <c r="A69" s="217" t="s">
        <v>242</v>
      </c>
      <c r="B69" s="218"/>
      <c r="C69" s="319">
        <f>0.2+0.8+0.2</f>
        <v>1.2</v>
      </c>
      <c r="D69" s="320"/>
      <c r="E69" s="321"/>
      <c r="F69" s="321">
        <v>0.2</v>
      </c>
      <c r="G69" s="322">
        <v>2</v>
      </c>
      <c r="H69" s="321">
        <f>G69*C69</f>
        <v>2.4</v>
      </c>
      <c r="I69" s="321">
        <f>H69*F69</f>
        <v>0.48</v>
      </c>
      <c r="J69" s="323"/>
      <c r="K69" s="324" t="s">
        <v>241</v>
      </c>
      <c r="M69" s="325"/>
      <c r="N69" s="326" t="s">
        <v>41</v>
      </c>
      <c r="O69" s="327"/>
    </row>
    <row r="70" spans="1:17" ht="13.5" thickBot="1" x14ac:dyDescent="0.25"/>
    <row r="71" spans="1:17" ht="13.5" thickBot="1" x14ac:dyDescent="0.25">
      <c r="A71" s="208" t="s">
        <v>52</v>
      </c>
      <c r="B71" s="209"/>
      <c r="C71" s="210" t="s">
        <v>2</v>
      </c>
      <c r="D71" s="210" t="s">
        <v>3</v>
      </c>
      <c r="E71" s="210" t="s">
        <v>4</v>
      </c>
      <c r="F71" s="210" t="s">
        <v>5</v>
      </c>
      <c r="G71" s="211" t="s">
        <v>1</v>
      </c>
      <c r="H71" s="210" t="s">
        <v>6</v>
      </c>
      <c r="I71" s="210" t="s">
        <v>7</v>
      </c>
      <c r="J71" s="210" t="s">
        <v>8</v>
      </c>
      <c r="K71" s="212" t="s">
        <v>9</v>
      </c>
    </row>
    <row r="72" spans="1:17" x14ac:dyDescent="0.2">
      <c r="A72" s="213" t="s">
        <v>111</v>
      </c>
      <c r="B72" s="214" t="s">
        <v>35</v>
      </c>
      <c r="C72" s="310"/>
      <c r="D72" s="310"/>
      <c r="E72" s="310"/>
      <c r="F72" s="310"/>
      <c r="G72" s="311"/>
      <c r="H72" s="310"/>
      <c r="I72" s="312">
        <f>SUM(I73:I78)</f>
        <v>1.1990400000000001</v>
      </c>
      <c r="J72" s="313"/>
      <c r="K72" s="292" t="s">
        <v>112</v>
      </c>
      <c r="M72" s="314">
        <v>0.71</v>
      </c>
      <c r="N72" s="315">
        <f>M72-I72</f>
        <v>-0.48904000000000014</v>
      </c>
      <c r="O72" s="316">
        <f>N72/M72</f>
        <v>-0.68878873239436644</v>
      </c>
    </row>
    <row r="73" spans="1:17" x14ac:dyDescent="0.2">
      <c r="A73" s="199" t="s">
        <v>115</v>
      </c>
      <c r="B73" s="200"/>
      <c r="C73" s="284"/>
      <c r="D73" s="284"/>
      <c r="E73" s="284"/>
      <c r="F73" s="284"/>
      <c r="G73" s="282"/>
      <c r="H73" s="284"/>
      <c r="I73" s="262"/>
      <c r="J73" s="281"/>
      <c r="K73" s="283"/>
      <c r="M73" s="253"/>
      <c r="N73" s="254" t="s">
        <v>41</v>
      </c>
      <c r="O73" s="255"/>
    </row>
    <row r="74" spans="1:17" x14ac:dyDescent="0.2">
      <c r="A74" s="203" t="s">
        <v>116</v>
      </c>
      <c r="B74" s="198"/>
      <c r="C74" s="262">
        <v>8.4000000000000005E-2</v>
      </c>
      <c r="D74" s="262"/>
      <c r="E74" s="262"/>
      <c r="F74" s="262">
        <v>2.14</v>
      </c>
      <c r="G74" s="263">
        <v>2</v>
      </c>
      <c r="H74" s="262"/>
      <c r="I74" s="262">
        <f>C74*F74*G74</f>
        <v>0.35952000000000006</v>
      </c>
      <c r="J74" s="281"/>
      <c r="K74" s="283"/>
      <c r="M74" s="253"/>
      <c r="N74" s="254" t="s">
        <v>41</v>
      </c>
      <c r="O74" s="255"/>
    </row>
    <row r="75" spans="1:17" x14ac:dyDescent="0.2">
      <c r="A75" s="203" t="s">
        <v>118</v>
      </c>
      <c r="B75" s="198"/>
      <c r="C75" s="262">
        <f>0.2+0.8+0.2</f>
        <v>1.2</v>
      </c>
      <c r="D75" s="262"/>
      <c r="E75" s="262"/>
      <c r="F75" s="262">
        <v>0.2</v>
      </c>
      <c r="G75" s="263">
        <v>2</v>
      </c>
      <c r="H75" s="262"/>
      <c r="I75" s="262">
        <f>C75*F75*G75</f>
        <v>0.48</v>
      </c>
      <c r="J75" s="281"/>
      <c r="K75" s="283"/>
      <c r="M75" s="253"/>
      <c r="N75" s="254" t="s">
        <v>41</v>
      </c>
      <c r="O75" s="255"/>
    </row>
    <row r="76" spans="1:17" x14ac:dyDescent="0.2">
      <c r="A76" s="203"/>
      <c r="B76" s="198"/>
      <c r="C76" s="262"/>
      <c r="D76" s="262"/>
      <c r="E76" s="262"/>
      <c r="F76" s="262"/>
      <c r="G76" s="263"/>
      <c r="H76" s="262"/>
      <c r="I76" s="262"/>
      <c r="J76" s="281"/>
      <c r="K76" s="283"/>
      <c r="M76" s="253"/>
      <c r="N76" s="254"/>
      <c r="O76" s="255"/>
    </row>
    <row r="77" spans="1:17" x14ac:dyDescent="0.2">
      <c r="A77" s="199" t="s">
        <v>91</v>
      </c>
      <c r="B77" s="200"/>
      <c r="C77" s="284">
        <v>8.4000000000000005E-2</v>
      </c>
      <c r="D77" s="284"/>
      <c r="E77" s="284"/>
      <c r="F77" s="284">
        <v>2.14</v>
      </c>
      <c r="G77" s="263">
        <v>1</v>
      </c>
      <c r="H77" s="284"/>
      <c r="I77" s="262">
        <f>C77*F77*G77</f>
        <v>0.17976000000000003</v>
      </c>
      <c r="J77" s="281"/>
      <c r="K77" s="283"/>
      <c r="M77" s="253"/>
      <c r="N77" s="254"/>
      <c r="O77" s="255"/>
      <c r="Q77" s="328"/>
    </row>
    <row r="78" spans="1:17" ht="13.5" thickBot="1" x14ac:dyDescent="0.25">
      <c r="A78" s="219" t="s">
        <v>92</v>
      </c>
      <c r="B78" s="218"/>
      <c r="C78" s="321">
        <v>8.4000000000000005E-2</v>
      </c>
      <c r="D78" s="321"/>
      <c r="E78" s="321"/>
      <c r="F78" s="321">
        <v>2.14</v>
      </c>
      <c r="G78" s="322">
        <v>1</v>
      </c>
      <c r="H78" s="321"/>
      <c r="I78" s="321">
        <f>C78*F78*G78</f>
        <v>0.17976000000000003</v>
      </c>
      <c r="J78" s="323"/>
      <c r="K78" s="324"/>
      <c r="M78" s="325"/>
      <c r="N78" s="326"/>
      <c r="O78" s="327"/>
    </row>
    <row r="79" spans="1:17" ht="38.25" x14ac:dyDescent="0.2">
      <c r="A79" s="213" t="s">
        <v>49</v>
      </c>
      <c r="B79" s="214" t="s">
        <v>35</v>
      </c>
      <c r="C79" s="310"/>
      <c r="D79" s="310"/>
      <c r="E79" s="310"/>
      <c r="F79" s="310"/>
      <c r="G79" s="311"/>
      <c r="H79" s="310"/>
      <c r="I79" s="312">
        <f>SUM(I80:I100)</f>
        <v>49.234419999999993</v>
      </c>
      <c r="J79" s="313"/>
      <c r="K79" s="292" t="s">
        <v>50</v>
      </c>
      <c r="M79" s="266">
        <f>47.73+0.36</f>
        <v>48.089999999999996</v>
      </c>
      <c r="N79" s="267">
        <f>M79-I79</f>
        <v>-1.1444199999999967</v>
      </c>
      <c r="O79" s="248">
        <f>N79/M79</f>
        <v>-2.3797463090039443E-2</v>
      </c>
    </row>
    <row r="80" spans="1:17" x14ac:dyDescent="0.2">
      <c r="A80" s="199" t="s">
        <v>115</v>
      </c>
      <c r="B80" s="200"/>
      <c r="C80" s="284"/>
      <c r="D80" s="284"/>
      <c r="E80" s="284"/>
      <c r="F80" s="284"/>
      <c r="G80" s="282"/>
      <c r="H80" s="284"/>
      <c r="I80" s="262"/>
      <c r="J80" s="281"/>
      <c r="K80" s="283"/>
      <c r="M80" s="253"/>
      <c r="N80" s="254" t="s">
        <v>41</v>
      </c>
      <c r="O80" s="255"/>
    </row>
    <row r="81" spans="1:17" x14ac:dyDescent="0.2">
      <c r="A81" s="203" t="s">
        <v>116</v>
      </c>
      <c r="B81" s="198"/>
      <c r="C81" s="262">
        <v>8.4000000000000005E-2</v>
      </c>
      <c r="D81" s="262"/>
      <c r="E81" s="262"/>
      <c r="F81" s="262">
        <v>2.14</v>
      </c>
      <c r="G81" s="263">
        <v>2</v>
      </c>
      <c r="H81" s="262"/>
      <c r="I81" s="262">
        <f>C81*F81*G81</f>
        <v>0.35952000000000006</v>
      </c>
      <c r="J81" s="281"/>
      <c r="K81" s="283"/>
      <c r="M81" s="253"/>
      <c r="N81" s="254" t="s">
        <v>41</v>
      </c>
      <c r="O81" s="255"/>
    </row>
    <row r="82" spans="1:17" x14ac:dyDescent="0.2">
      <c r="A82" s="203" t="s">
        <v>118</v>
      </c>
      <c r="B82" s="198"/>
      <c r="C82" s="262">
        <f>0.2+0.8+0.2</f>
        <v>1.2</v>
      </c>
      <c r="D82" s="262"/>
      <c r="E82" s="262"/>
      <c r="F82" s="262">
        <v>0.2</v>
      </c>
      <c r="G82" s="263">
        <v>2</v>
      </c>
      <c r="H82" s="262"/>
      <c r="I82" s="262">
        <f>C82*F82*G82</f>
        <v>0.48</v>
      </c>
      <c r="J82" s="281"/>
      <c r="K82" s="283"/>
      <c r="M82" s="253"/>
      <c r="N82" s="254" t="s">
        <v>41</v>
      </c>
      <c r="O82" s="255"/>
      <c r="Q82" s="328"/>
    </row>
    <row r="83" spans="1:17" x14ac:dyDescent="0.2">
      <c r="A83" s="199"/>
      <c r="B83" s="200"/>
      <c r="C83" s="284"/>
      <c r="D83" s="284"/>
      <c r="E83" s="284"/>
      <c r="F83" s="284"/>
      <c r="G83" s="282"/>
      <c r="H83" s="284"/>
      <c r="I83" s="262"/>
      <c r="J83" s="281"/>
      <c r="K83" s="283"/>
      <c r="M83" s="253"/>
      <c r="N83" s="254" t="s">
        <v>41</v>
      </c>
      <c r="O83" s="255"/>
    </row>
    <row r="84" spans="1:17" x14ac:dyDescent="0.2">
      <c r="A84" s="199" t="s">
        <v>97</v>
      </c>
      <c r="B84" s="200"/>
      <c r="C84" s="284"/>
      <c r="D84" s="284"/>
      <c r="E84" s="284"/>
      <c r="F84" s="284"/>
      <c r="G84" s="282"/>
      <c r="H84" s="284"/>
      <c r="I84" s="262"/>
      <c r="J84" s="281"/>
      <c r="K84" s="283"/>
      <c r="M84" s="253"/>
      <c r="N84" s="254" t="s">
        <v>41</v>
      </c>
      <c r="O84" s="255"/>
    </row>
    <row r="85" spans="1:17" x14ac:dyDescent="0.2">
      <c r="A85" s="203" t="s">
        <v>31</v>
      </c>
      <c r="B85" s="198"/>
      <c r="C85" s="262">
        <v>1.57</v>
      </c>
      <c r="D85" s="262">
        <v>2.9249999999999998</v>
      </c>
      <c r="E85" s="262"/>
      <c r="F85" s="262"/>
      <c r="G85" s="282"/>
      <c r="H85" s="262"/>
      <c r="I85" s="262">
        <f>C85*D85</f>
        <v>4.5922499999999999</v>
      </c>
      <c r="J85" s="281"/>
      <c r="K85" s="283"/>
      <c r="M85" s="253"/>
      <c r="N85" s="254" t="s">
        <v>41</v>
      </c>
      <c r="O85" s="255"/>
    </row>
    <row r="86" spans="1:17" x14ac:dyDescent="0.2">
      <c r="A86" s="201" t="s">
        <v>98</v>
      </c>
      <c r="B86" s="202"/>
      <c r="C86" s="286">
        <v>0.87</v>
      </c>
      <c r="D86" s="286">
        <v>2.14</v>
      </c>
      <c r="E86" s="288"/>
      <c r="F86" s="288"/>
      <c r="G86" s="289">
        <v>1</v>
      </c>
      <c r="H86" s="288"/>
      <c r="I86" s="290">
        <f>C86*D86*G86*-1</f>
        <v>-1.8618000000000001</v>
      </c>
      <c r="J86" s="288"/>
      <c r="K86" s="291"/>
      <c r="M86" s="253"/>
      <c r="N86" s="254" t="s">
        <v>41</v>
      </c>
      <c r="O86" s="255"/>
    </row>
    <row r="87" spans="1:17" x14ac:dyDescent="0.2">
      <c r="A87" s="203" t="s">
        <v>28</v>
      </c>
      <c r="B87" s="198"/>
      <c r="C87" s="262">
        <v>1.57</v>
      </c>
      <c r="D87" s="262">
        <v>2.9249999999999998</v>
      </c>
      <c r="E87" s="262"/>
      <c r="F87" s="262"/>
      <c r="G87" s="282"/>
      <c r="H87" s="262"/>
      <c r="I87" s="262">
        <f>C87*D87</f>
        <v>4.5922499999999999</v>
      </c>
      <c r="J87" s="281"/>
      <c r="K87" s="283"/>
      <c r="M87" s="253"/>
      <c r="N87" s="254" t="s">
        <v>41</v>
      </c>
      <c r="O87" s="255"/>
    </row>
    <row r="88" spans="1:17" x14ac:dyDescent="0.2">
      <c r="A88" s="201" t="s">
        <v>45</v>
      </c>
      <c r="B88" s="202"/>
      <c r="C88" s="286">
        <v>1.57</v>
      </c>
      <c r="D88" s="286">
        <v>0.9</v>
      </c>
      <c r="E88" s="288"/>
      <c r="F88" s="288"/>
      <c r="G88" s="289">
        <v>1</v>
      </c>
      <c r="H88" s="288"/>
      <c r="I88" s="290">
        <f>C88*D88*G88*-1</f>
        <v>-1.413</v>
      </c>
      <c r="J88" s="288"/>
      <c r="K88" s="291"/>
      <c r="M88" s="253"/>
      <c r="N88" s="254"/>
      <c r="O88" s="255"/>
    </row>
    <row r="89" spans="1:17" x14ac:dyDescent="0.2">
      <c r="A89" s="203" t="s">
        <v>18</v>
      </c>
      <c r="B89" s="198"/>
      <c r="C89" s="262">
        <v>2.99</v>
      </c>
      <c r="D89" s="262">
        <v>2.9249999999999998</v>
      </c>
      <c r="E89" s="262"/>
      <c r="F89" s="262"/>
      <c r="G89" s="282"/>
      <c r="H89" s="262"/>
      <c r="I89" s="262">
        <f t="shared" ref="I89:I90" si="19">C89*D89</f>
        <v>8.7457499999999992</v>
      </c>
      <c r="J89" s="281"/>
      <c r="K89" s="283"/>
      <c r="M89" s="253"/>
      <c r="N89" s="254" t="s">
        <v>41</v>
      </c>
      <c r="O89" s="255"/>
      <c r="Q89" s="328"/>
    </row>
    <row r="90" spans="1:17" x14ac:dyDescent="0.2">
      <c r="A90" s="203" t="s">
        <v>19</v>
      </c>
      <c r="B90" s="198"/>
      <c r="C90" s="262">
        <v>2.99</v>
      </c>
      <c r="D90" s="262">
        <v>2.9249999999999998</v>
      </c>
      <c r="E90" s="262"/>
      <c r="F90" s="262"/>
      <c r="G90" s="263"/>
      <c r="H90" s="262"/>
      <c r="I90" s="262">
        <f t="shared" si="19"/>
        <v>8.7457499999999992</v>
      </c>
      <c r="J90" s="281"/>
      <c r="K90" s="283"/>
      <c r="M90" s="253"/>
      <c r="N90" s="254" t="s">
        <v>41</v>
      </c>
      <c r="O90" s="255"/>
    </row>
    <row r="91" spans="1:17" x14ac:dyDescent="0.2">
      <c r="A91" s="197" t="s">
        <v>103</v>
      </c>
      <c r="B91" s="200"/>
      <c r="C91" s="284">
        <v>0.87</v>
      </c>
      <c r="D91" s="284">
        <v>2.14</v>
      </c>
      <c r="E91" s="284">
        <v>0.14499999999999999</v>
      </c>
      <c r="F91" s="284"/>
      <c r="G91" s="263">
        <v>1</v>
      </c>
      <c r="H91" s="284">
        <f>G91*(D91+C91+D91)</f>
        <v>5.15</v>
      </c>
      <c r="I91" s="262">
        <f>H91*E91</f>
        <v>0.74675000000000002</v>
      </c>
      <c r="J91" s="281"/>
      <c r="K91" s="283"/>
      <c r="M91" s="253"/>
      <c r="N91" s="254"/>
      <c r="O91" s="255"/>
    </row>
    <row r="92" spans="1:17" x14ac:dyDescent="0.2">
      <c r="A92" s="199"/>
      <c r="B92" s="200"/>
      <c r="C92" s="284"/>
      <c r="D92" s="284"/>
      <c r="E92" s="284"/>
      <c r="F92" s="284"/>
      <c r="G92" s="282"/>
      <c r="H92" s="284"/>
      <c r="I92" s="262"/>
      <c r="J92" s="281"/>
      <c r="K92" s="283"/>
      <c r="M92" s="253"/>
      <c r="N92" s="254" t="s">
        <v>41</v>
      </c>
      <c r="O92" s="255"/>
    </row>
    <row r="93" spans="1:17" x14ac:dyDescent="0.2">
      <c r="A93" s="199" t="s">
        <v>96</v>
      </c>
      <c r="B93" s="200"/>
      <c r="C93" s="284"/>
      <c r="D93" s="284"/>
      <c r="E93" s="284"/>
      <c r="F93" s="284"/>
      <c r="G93" s="282"/>
      <c r="H93" s="284"/>
      <c r="I93" s="262"/>
      <c r="J93" s="281"/>
      <c r="K93" s="283"/>
      <c r="M93" s="253"/>
      <c r="N93" s="254" t="s">
        <v>41</v>
      </c>
      <c r="O93" s="255"/>
    </row>
    <row r="94" spans="1:17" x14ac:dyDescent="0.2">
      <c r="A94" s="203" t="s">
        <v>31</v>
      </c>
      <c r="B94" s="198"/>
      <c r="C94" s="262">
        <v>1.59</v>
      </c>
      <c r="D94" s="262">
        <v>2.9249999999999998</v>
      </c>
      <c r="E94" s="262"/>
      <c r="F94" s="262"/>
      <c r="G94" s="282"/>
      <c r="H94" s="262"/>
      <c r="I94" s="262">
        <f>C94*D94</f>
        <v>4.6507500000000004</v>
      </c>
      <c r="J94" s="281"/>
      <c r="K94" s="283"/>
      <c r="M94" s="253"/>
      <c r="N94" s="254" t="s">
        <v>41</v>
      </c>
      <c r="O94" s="255"/>
    </row>
    <row r="95" spans="1:17" x14ac:dyDescent="0.2">
      <c r="A95" s="201" t="s">
        <v>98</v>
      </c>
      <c r="B95" s="202"/>
      <c r="C95" s="286">
        <v>0.87</v>
      </c>
      <c r="D95" s="286">
        <v>2.14</v>
      </c>
      <c r="E95" s="288"/>
      <c r="F95" s="288"/>
      <c r="G95" s="289">
        <v>1</v>
      </c>
      <c r="H95" s="288"/>
      <c r="I95" s="290">
        <f>C95*D95*G95*-1</f>
        <v>-1.8618000000000001</v>
      </c>
      <c r="J95" s="288"/>
      <c r="K95" s="291"/>
      <c r="M95" s="253"/>
      <c r="N95" s="254" t="s">
        <v>41</v>
      </c>
      <c r="O95" s="255"/>
    </row>
    <row r="96" spans="1:17" x14ac:dyDescent="0.2">
      <c r="A96" s="203" t="s">
        <v>28</v>
      </c>
      <c r="B96" s="198"/>
      <c r="C96" s="262">
        <v>1.59</v>
      </c>
      <c r="D96" s="262">
        <v>2.9249999999999998</v>
      </c>
      <c r="E96" s="262"/>
      <c r="F96" s="262"/>
      <c r="G96" s="282"/>
      <c r="H96" s="262"/>
      <c r="I96" s="262">
        <f>C96*D96</f>
        <v>4.6507500000000004</v>
      </c>
      <c r="J96" s="281"/>
      <c r="K96" s="283"/>
      <c r="M96" s="253"/>
      <c r="N96" s="254" t="s">
        <v>41</v>
      </c>
      <c r="O96" s="255"/>
    </row>
    <row r="97" spans="1:15" x14ac:dyDescent="0.2">
      <c r="A97" s="201" t="s">
        <v>45</v>
      </c>
      <c r="B97" s="202"/>
      <c r="C97" s="286">
        <v>1.59</v>
      </c>
      <c r="D97" s="286">
        <v>0.9</v>
      </c>
      <c r="E97" s="288"/>
      <c r="F97" s="288"/>
      <c r="G97" s="289">
        <v>1</v>
      </c>
      <c r="H97" s="288"/>
      <c r="I97" s="290">
        <f>C97*D97*G97*-1</f>
        <v>-1.431</v>
      </c>
      <c r="J97" s="288"/>
      <c r="K97" s="291"/>
      <c r="M97" s="253"/>
      <c r="N97" s="254"/>
      <c r="O97" s="255"/>
    </row>
    <row r="98" spans="1:15" x14ac:dyDescent="0.2">
      <c r="A98" s="203" t="s">
        <v>18</v>
      </c>
      <c r="B98" s="198"/>
      <c r="C98" s="262">
        <v>2.99</v>
      </c>
      <c r="D98" s="262">
        <v>2.9249999999999998</v>
      </c>
      <c r="E98" s="262"/>
      <c r="F98" s="262"/>
      <c r="G98" s="282"/>
      <c r="H98" s="262"/>
      <c r="I98" s="262">
        <f t="shared" ref="I98:I99" si="20">C98*D98</f>
        <v>8.7457499999999992</v>
      </c>
      <c r="J98" s="281"/>
      <c r="K98" s="283"/>
      <c r="M98" s="253"/>
      <c r="N98" s="254" t="s">
        <v>41</v>
      </c>
      <c r="O98" s="255"/>
    </row>
    <row r="99" spans="1:15" x14ac:dyDescent="0.2">
      <c r="A99" s="203" t="s">
        <v>19</v>
      </c>
      <c r="B99" s="198"/>
      <c r="C99" s="262">
        <v>2.99</v>
      </c>
      <c r="D99" s="262">
        <v>2.9249999999999998</v>
      </c>
      <c r="E99" s="262"/>
      <c r="F99" s="262"/>
      <c r="G99" s="263"/>
      <c r="H99" s="262"/>
      <c r="I99" s="262">
        <f t="shared" si="20"/>
        <v>8.7457499999999992</v>
      </c>
      <c r="J99" s="281"/>
      <c r="K99" s="283"/>
      <c r="M99" s="253"/>
      <c r="N99" s="254"/>
      <c r="O99" s="255"/>
    </row>
    <row r="100" spans="1:15" ht="13.5" thickBot="1" x14ac:dyDescent="0.25">
      <c r="A100" s="217" t="s">
        <v>103</v>
      </c>
      <c r="B100" s="220"/>
      <c r="C100" s="329">
        <v>0.87</v>
      </c>
      <c r="D100" s="329">
        <v>2.14</v>
      </c>
      <c r="E100" s="329">
        <v>0.14499999999999999</v>
      </c>
      <c r="F100" s="329"/>
      <c r="G100" s="322">
        <v>1</v>
      </c>
      <c r="H100" s="329">
        <f>G100*(D100+C100+D100)</f>
        <v>5.15</v>
      </c>
      <c r="I100" s="321">
        <f>H100*E100</f>
        <v>0.74675000000000002</v>
      </c>
      <c r="J100" s="323"/>
      <c r="K100" s="324"/>
      <c r="M100" s="325"/>
      <c r="N100" s="326"/>
      <c r="O100" s="327"/>
    </row>
    <row r="101" spans="1:15" ht="13.5" thickBot="1" x14ac:dyDescent="0.25"/>
    <row r="102" spans="1:15" ht="13.5" thickBot="1" x14ac:dyDescent="0.25">
      <c r="A102" s="208" t="s">
        <v>53</v>
      </c>
      <c r="B102" s="209"/>
      <c r="C102" s="210" t="s">
        <v>2</v>
      </c>
      <c r="D102" s="210" t="s">
        <v>3</v>
      </c>
      <c r="E102" s="210" t="s">
        <v>4</v>
      </c>
      <c r="F102" s="210" t="s">
        <v>5</v>
      </c>
      <c r="G102" s="211" t="s">
        <v>1</v>
      </c>
      <c r="H102" s="210" t="s">
        <v>6</v>
      </c>
      <c r="I102" s="210" t="s">
        <v>7</v>
      </c>
      <c r="J102" s="210" t="s">
        <v>8</v>
      </c>
      <c r="K102" s="212" t="s">
        <v>9</v>
      </c>
    </row>
    <row r="103" spans="1:15" x14ac:dyDescent="0.2">
      <c r="A103" s="213" t="s">
        <v>88</v>
      </c>
      <c r="B103" s="214" t="s">
        <v>35</v>
      </c>
      <c r="C103" s="310"/>
      <c r="D103" s="310"/>
      <c r="E103" s="310"/>
      <c r="F103" s="310"/>
      <c r="G103" s="311"/>
      <c r="H103" s="310"/>
      <c r="I103" s="318">
        <f>SUM(I104:I105)</f>
        <v>9.8172000000000015</v>
      </c>
      <c r="J103" s="313"/>
      <c r="K103" s="292"/>
      <c r="M103" s="314">
        <v>9.91</v>
      </c>
      <c r="N103" s="315">
        <f>M103-I103</f>
        <v>9.2799999999998661E-2</v>
      </c>
      <c r="O103" s="316">
        <f>N103/M103</f>
        <v>9.3642785065588957E-3</v>
      </c>
    </row>
    <row r="104" spans="1:15" x14ac:dyDescent="0.2">
      <c r="A104" s="199" t="s">
        <v>101</v>
      </c>
      <c r="B104" s="198"/>
      <c r="C104" s="281">
        <f>1.57+0.04</f>
        <v>1.61</v>
      </c>
      <c r="D104" s="281">
        <f>2.99+0.04</f>
        <v>3.0300000000000002</v>
      </c>
      <c r="E104" s="262"/>
      <c r="F104" s="262"/>
      <c r="G104" s="282"/>
      <c r="H104" s="262"/>
      <c r="I104" s="262">
        <f>C104*D104</f>
        <v>4.8783000000000003</v>
      </c>
      <c r="J104" s="281"/>
      <c r="K104" s="283"/>
      <c r="M104" s="253"/>
      <c r="N104" s="254"/>
      <c r="O104" s="255"/>
    </row>
    <row r="105" spans="1:15" ht="13.5" thickBot="1" x14ac:dyDescent="0.25">
      <c r="A105" s="219" t="s">
        <v>102</v>
      </c>
      <c r="B105" s="218"/>
      <c r="C105" s="323">
        <f>0.04+1.59</f>
        <v>1.6300000000000001</v>
      </c>
      <c r="D105" s="323">
        <f>2.99+0.04</f>
        <v>3.0300000000000002</v>
      </c>
      <c r="E105" s="321"/>
      <c r="F105" s="321"/>
      <c r="G105" s="330"/>
      <c r="H105" s="321"/>
      <c r="I105" s="321">
        <f t="shared" ref="I105" si="21">C105*D105</f>
        <v>4.9389000000000012</v>
      </c>
      <c r="J105" s="323"/>
      <c r="K105" s="324"/>
      <c r="M105" s="325"/>
      <c r="N105" s="326"/>
      <c r="O105" s="331"/>
    </row>
    <row r="106" spans="1:15" ht="13.5" thickBot="1" x14ac:dyDescent="0.25"/>
    <row r="107" spans="1:15" ht="13.5" thickBot="1" x14ac:dyDescent="0.25">
      <c r="A107" s="208" t="s">
        <v>48</v>
      </c>
      <c r="B107" s="209"/>
      <c r="C107" s="210" t="s">
        <v>2</v>
      </c>
      <c r="D107" s="210" t="s">
        <v>3</v>
      </c>
      <c r="E107" s="210" t="s">
        <v>4</v>
      </c>
      <c r="F107" s="210" t="s">
        <v>5</v>
      </c>
      <c r="G107" s="211" t="s">
        <v>1</v>
      </c>
      <c r="H107" s="210" t="s">
        <v>6</v>
      </c>
      <c r="I107" s="210" t="s">
        <v>7</v>
      </c>
      <c r="J107" s="210" t="s">
        <v>8</v>
      </c>
      <c r="K107" s="212" t="s">
        <v>9</v>
      </c>
    </row>
    <row r="108" spans="1:15" x14ac:dyDescent="0.2">
      <c r="A108" s="213" t="s">
        <v>51</v>
      </c>
      <c r="B108" s="214" t="s">
        <v>35</v>
      </c>
      <c r="C108" s="310"/>
      <c r="D108" s="310"/>
      <c r="E108" s="310"/>
      <c r="F108" s="310"/>
      <c r="G108" s="311"/>
      <c r="H108" s="310"/>
      <c r="I108" s="318">
        <f>SUM(I109:I114)</f>
        <v>20.0212</v>
      </c>
      <c r="J108" s="313"/>
      <c r="K108" s="292"/>
      <c r="M108" s="314">
        <f>9.92+9.45</f>
        <v>19.369999999999997</v>
      </c>
      <c r="N108" s="315">
        <f>M108-I108</f>
        <v>-0.65120000000000289</v>
      </c>
      <c r="O108" s="316">
        <f>N108/M108</f>
        <v>-3.3618998451213369E-2</v>
      </c>
    </row>
    <row r="109" spans="1:15" x14ac:dyDescent="0.2">
      <c r="A109" s="221" t="s">
        <v>46</v>
      </c>
      <c r="B109" s="198"/>
      <c r="C109" s="262"/>
      <c r="D109" s="262"/>
      <c r="E109" s="262"/>
      <c r="F109" s="262"/>
      <c r="G109" s="282"/>
      <c r="H109" s="262"/>
      <c r="I109" s="262">
        <f>I103</f>
        <v>9.8172000000000015</v>
      </c>
      <c r="J109" s="281"/>
      <c r="K109" s="283" t="s">
        <v>83</v>
      </c>
      <c r="M109" s="253"/>
      <c r="N109" s="254" t="s">
        <v>41</v>
      </c>
      <c r="O109" s="255"/>
    </row>
    <row r="110" spans="1:15" x14ac:dyDescent="0.2">
      <c r="A110" s="221" t="s">
        <v>44</v>
      </c>
      <c r="B110" s="198"/>
      <c r="C110" s="262"/>
      <c r="D110" s="262"/>
      <c r="E110" s="262"/>
      <c r="F110" s="262"/>
      <c r="G110" s="282"/>
      <c r="H110" s="262"/>
      <c r="I110" s="262"/>
      <c r="J110" s="281"/>
      <c r="K110" s="283"/>
      <c r="M110" s="253"/>
      <c r="N110" s="254" t="s">
        <v>41</v>
      </c>
      <c r="O110" s="255"/>
    </row>
    <row r="111" spans="1:15" x14ac:dyDescent="0.2">
      <c r="A111" s="199" t="s">
        <v>101</v>
      </c>
      <c r="B111" s="198"/>
      <c r="C111" s="281">
        <v>1.61</v>
      </c>
      <c r="D111" s="281">
        <v>3.0300000000000002</v>
      </c>
      <c r="E111" s="262"/>
      <c r="F111" s="262">
        <v>0.6</v>
      </c>
      <c r="G111" s="282"/>
      <c r="H111" s="262">
        <f>(C111+D111)*2</f>
        <v>9.2800000000000011</v>
      </c>
      <c r="I111" s="262">
        <f>H111*F111</f>
        <v>5.5680000000000005</v>
      </c>
      <c r="J111" s="281"/>
      <c r="K111" s="283"/>
      <c r="M111" s="253"/>
      <c r="N111" s="254"/>
      <c r="O111" s="255"/>
    </row>
    <row r="112" spans="1:15" x14ac:dyDescent="0.2">
      <c r="A112" s="201" t="s">
        <v>98</v>
      </c>
      <c r="B112" s="202"/>
      <c r="C112" s="286">
        <v>0.87</v>
      </c>
      <c r="D112" s="288"/>
      <c r="E112" s="286">
        <v>0.6</v>
      </c>
      <c r="F112" s="286"/>
      <c r="G112" s="289">
        <v>1</v>
      </c>
      <c r="H112" s="288"/>
      <c r="I112" s="290">
        <f>C112*G112*E112-1</f>
        <v>-0.47799999999999998</v>
      </c>
      <c r="J112" s="288"/>
      <c r="K112" s="291"/>
      <c r="M112" s="253"/>
      <c r="N112" s="254" t="s">
        <v>41</v>
      </c>
      <c r="O112" s="255"/>
    </row>
    <row r="113" spans="1:15" x14ac:dyDescent="0.2">
      <c r="A113" s="199" t="s">
        <v>102</v>
      </c>
      <c r="B113" s="198"/>
      <c r="C113" s="281">
        <v>1.6300000000000001</v>
      </c>
      <c r="D113" s="281">
        <v>3.0300000000000002</v>
      </c>
      <c r="E113" s="262"/>
      <c r="F113" s="262">
        <v>0.6</v>
      </c>
      <c r="G113" s="282"/>
      <c r="H113" s="262">
        <f>(C113+D113)*2</f>
        <v>9.32</v>
      </c>
      <c r="I113" s="262">
        <f>H113*F113</f>
        <v>5.5919999999999996</v>
      </c>
      <c r="J113" s="281"/>
      <c r="K113" s="283"/>
      <c r="M113" s="253"/>
      <c r="N113" s="254"/>
      <c r="O113" s="332"/>
    </row>
    <row r="114" spans="1:15" ht="13.5" thickBot="1" x14ac:dyDescent="0.25">
      <c r="A114" s="222" t="s">
        <v>98</v>
      </c>
      <c r="B114" s="223"/>
      <c r="C114" s="333">
        <v>0.87</v>
      </c>
      <c r="D114" s="334"/>
      <c r="E114" s="333">
        <v>0.6</v>
      </c>
      <c r="F114" s="333"/>
      <c r="G114" s="335">
        <v>1</v>
      </c>
      <c r="H114" s="334"/>
      <c r="I114" s="336">
        <f>C114*G114*E114-1</f>
        <v>-0.47799999999999998</v>
      </c>
      <c r="J114" s="334"/>
      <c r="K114" s="337"/>
      <c r="M114" s="325"/>
      <c r="N114" s="326"/>
      <c r="O114" s="327"/>
    </row>
    <row r="115" spans="1:15" ht="13.5" thickBot="1" x14ac:dyDescent="0.25"/>
    <row r="116" spans="1:15" ht="13.5" thickBot="1" x14ac:dyDescent="0.25">
      <c r="A116" s="208" t="s">
        <v>54</v>
      </c>
      <c r="B116" s="209"/>
      <c r="C116" s="210" t="s">
        <v>2</v>
      </c>
      <c r="D116" s="210" t="s">
        <v>3</v>
      </c>
      <c r="E116" s="210" t="s">
        <v>4</v>
      </c>
      <c r="F116" s="210" t="s">
        <v>5</v>
      </c>
      <c r="G116" s="211" t="s">
        <v>1</v>
      </c>
      <c r="H116" s="210" t="s">
        <v>6</v>
      </c>
      <c r="I116" s="210" t="s">
        <v>7</v>
      </c>
      <c r="J116" s="210" t="s">
        <v>8</v>
      </c>
      <c r="K116" s="212" t="s">
        <v>9</v>
      </c>
    </row>
    <row r="117" spans="1:15" ht="25.5" x14ac:dyDescent="0.2">
      <c r="A117" s="224" t="s">
        <v>55</v>
      </c>
      <c r="B117" s="214" t="s">
        <v>35</v>
      </c>
      <c r="C117" s="310"/>
      <c r="D117" s="310"/>
      <c r="E117" s="310"/>
      <c r="F117" s="310"/>
      <c r="G117" s="311"/>
      <c r="H117" s="310"/>
      <c r="I117" s="318">
        <f>SUM(I118:I132)</f>
        <v>46.901399999999995</v>
      </c>
      <c r="J117" s="313"/>
      <c r="K117" s="292"/>
      <c r="M117" s="314">
        <v>46.87</v>
      </c>
      <c r="N117" s="315">
        <f>M117-I117</f>
        <v>-3.1399999999997874E-2</v>
      </c>
      <c r="O117" s="316">
        <f>N117/M117</f>
        <v>-6.6993812673347291E-4</v>
      </c>
    </row>
    <row r="118" spans="1:15" x14ac:dyDescent="0.2">
      <c r="A118" s="199" t="s">
        <v>97</v>
      </c>
      <c r="B118" s="200"/>
      <c r="C118" s="284"/>
      <c r="D118" s="284"/>
      <c r="E118" s="284"/>
      <c r="F118" s="284"/>
      <c r="G118" s="282"/>
      <c r="H118" s="284"/>
      <c r="I118" s="262"/>
      <c r="J118" s="281"/>
      <c r="K118" s="283"/>
      <c r="M118" s="253"/>
      <c r="N118" s="254" t="s">
        <v>41</v>
      </c>
      <c r="O118" s="255"/>
    </row>
    <row r="119" spans="1:15" x14ac:dyDescent="0.2">
      <c r="A119" s="203" t="s">
        <v>31</v>
      </c>
      <c r="B119" s="198"/>
      <c r="C119" s="262">
        <v>1.57</v>
      </c>
      <c r="D119" s="262">
        <v>2.9249999999999998</v>
      </c>
      <c r="E119" s="262"/>
      <c r="F119" s="262"/>
      <c r="G119" s="282"/>
      <c r="H119" s="262"/>
      <c r="I119" s="262">
        <f>C119*D119</f>
        <v>4.5922499999999999</v>
      </c>
      <c r="J119" s="281"/>
      <c r="K119" s="283"/>
      <c r="M119" s="253"/>
      <c r="N119" s="254" t="s">
        <v>41</v>
      </c>
      <c r="O119" s="255"/>
    </row>
    <row r="120" spans="1:15" x14ac:dyDescent="0.2">
      <c r="A120" s="201" t="s">
        <v>98</v>
      </c>
      <c r="B120" s="202"/>
      <c r="C120" s="286">
        <v>0.87</v>
      </c>
      <c r="D120" s="286">
        <v>2.14</v>
      </c>
      <c r="E120" s="288"/>
      <c r="F120" s="288"/>
      <c r="G120" s="289">
        <v>1</v>
      </c>
      <c r="H120" s="288"/>
      <c r="I120" s="290">
        <f>C120*D120*G120*-1</f>
        <v>-1.8618000000000001</v>
      </c>
      <c r="J120" s="288"/>
      <c r="K120" s="291"/>
      <c r="M120" s="253"/>
      <c r="N120" s="254" t="s">
        <v>41</v>
      </c>
      <c r="O120" s="255"/>
    </row>
    <row r="121" spans="1:15" x14ac:dyDescent="0.2">
      <c r="A121" s="203" t="s">
        <v>28</v>
      </c>
      <c r="B121" s="198"/>
      <c r="C121" s="262">
        <v>1.57</v>
      </c>
      <c r="D121" s="262">
        <v>2.9249999999999998</v>
      </c>
      <c r="E121" s="262"/>
      <c r="F121" s="262"/>
      <c r="G121" s="282"/>
      <c r="H121" s="262"/>
      <c r="I121" s="262">
        <f>C121*D121</f>
        <v>4.5922499999999999</v>
      </c>
      <c r="J121" s="281"/>
      <c r="K121" s="283"/>
      <c r="M121" s="253"/>
      <c r="N121" s="254" t="s">
        <v>41</v>
      </c>
      <c r="O121" s="255"/>
    </row>
    <row r="122" spans="1:15" x14ac:dyDescent="0.2">
      <c r="A122" s="201" t="s">
        <v>45</v>
      </c>
      <c r="B122" s="202"/>
      <c r="C122" s="286">
        <v>1.57</v>
      </c>
      <c r="D122" s="286">
        <v>0.9</v>
      </c>
      <c r="E122" s="288"/>
      <c r="F122" s="288"/>
      <c r="G122" s="289">
        <v>1</v>
      </c>
      <c r="H122" s="288"/>
      <c r="I122" s="290">
        <f>C122*D122*G122*-1</f>
        <v>-1.413</v>
      </c>
      <c r="J122" s="288"/>
      <c r="K122" s="291"/>
      <c r="M122" s="253"/>
      <c r="N122" s="254"/>
      <c r="O122" s="255"/>
    </row>
    <row r="123" spans="1:15" x14ac:dyDescent="0.2">
      <c r="A123" s="203" t="s">
        <v>18</v>
      </c>
      <c r="B123" s="198"/>
      <c r="C123" s="262">
        <v>2.99</v>
      </c>
      <c r="D123" s="262">
        <v>2.9249999999999998</v>
      </c>
      <c r="E123" s="262"/>
      <c r="F123" s="262"/>
      <c r="G123" s="282"/>
      <c r="H123" s="262"/>
      <c r="I123" s="262">
        <f t="shared" ref="I123:I124" si="22">C123*D123</f>
        <v>8.7457499999999992</v>
      </c>
      <c r="J123" s="281"/>
      <c r="K123" s="283"/>
      <c r="M123" s="253"/>
      <c r="N123" s="254" t="s">
        <v>41</v>
      </c>
      <c r="O123" s="255"/>
    </row>
    <row r="124" spans="1:15" x14ac:dyDescent="0.2">
      <c r="A124" s="203" t="s">
        <v>19</v>
      </c>
      <c r="B124" s="198"/>
      <c r="C124" s="262">
        <v>2.99</v>
      </c>
      <c r="D124" s="262">
        <v>2.9249999999999998</v>
      </c>
      <c r="E124" s="262"/>
      <c r="F124" s="262"/>
      <c r="G124" s="263"/>
      <c r="H124" s="262"/>
      <c r="I124" s="262">
        <f t="shared" si="22"/>
        <v>8.7457499999999992</v>
      </c>
      <c r="J124" s="281"/>
      <c r="K124" s="283"/>
      <c r="M124" s="253"/>
      <c r="N124" s="254" t="s">
        <v>41</v>
      </c>
      <c r="O124" s="255"/>
    </row>
    <row r="125" spans="1:15" x14ac:dyDescent="0.2">
      <c r="A125" s="199"/>
      <c r="B125" s="200"/>
      <c r="C125" s="284"/>
      <c r="D125" s="284"/>
      <c r="E125" s="284"/>
      <c r="F125" s="284"/>
      <c r="G125" s="282"/>
      <c r="H125" s="284"/>
      <c r="I125" s="262"/>
      <c r="J125" s="281"/>
      <c r="K125" s="283"/>
      <c r="M125" s="253"/>
      <c r="N125" s="254" t="s">
        <v>41</v>
      </c>
      <c r="O125" s="255"/>
    </row>
    <row r="126" spans="1:15" x14ac:dyDescent="0.2">
      <c r="A126" s="199" t="s">
        <v>96</v>
      </c>
      <c r="B126" s="200"/>
      <c r="C126" s="284"/>
      <c r="D126" s="284"/>
      <c r="E126" s="284"/>
      <c r="F126" s="284"/>
      <c r="G126" s="282"/>
      <c r="H126" s="284"/>
      <c r="I126" s="262"/>
      <c r="J126" s="281"/>
      <c r="K126" s="283"/>
      <c r="M126" s="253"/>
      <c r="N126" s="254" t="s">
        <v>41</v>
      </c>
      <c r="O126" s="255"/>
    </row>
    <row r="127" spans="1:15" x14ac:dyDescent="0.2">
      <c r="A127" s="203" t="s">
        <v>31</v>
      </c>
      <c r="B127" s="198"/>
      <c r="C127" s="262">
        <v>1.59</v>
      </c>
      <c r="D127" s="262">
        <v>2.9249999999999998</v>
      </c>
      <c r="E127" s="262"/>
      <c r="F127" s="262"/>
      <c r="G127" s="282"/>
      <c r="H127" s="262"/>
      <c r="I127" s="262">
        <f>C127*D127</f>
        <v>4.6507500000000004</v>
      </c>
      <c r="J127" s="281"/>
      <c r="K127" s="283"/>
      <c r="M127" s="253"/>
      <c r="N127" s="254" t="s">
        <v>41</v>
      </c>
      <c r="O127" s="255"/>
    </row>
    <row r="128" spans="1:15" x14ac:dyDescent="0.2">
      <c r="A128" s="201" t="s">
        <v>98</v>
      </c>
      <c r="B128" s="202"/>
      <c r="C128" s="286">
        <v>0.87</v>
      </c>
      <c r="D128" s="286">
        <v>2.14</v>
      </c>
      <c r="E128" s="288"/>
      <c r="F128" s="288"/>
      <c r="G128" s="289">
        <v>1</v>
      </c>
      <c r="H128" s="288"/>
      <c r="I128" s="290">
        <f>C128*D128*G128*-1</f>
        <v>-1.8618000000000001</v>
      </c>
      <c r="J128" s="288"/>
      <c r="K128" s="291"/>
      <c r="M128" s="253"/>
      <c r="N128" s="254" t="s">
        <v>41</v>
      </c>
      <c r="O128" s="255"/>
    </row>
    <row r="129" spans="1:15" x14ac:dyDescent="0.2">
      <c r="A129" s="203" t="s">
        <v>28</v>
      </c>
      <c r="B129" s="198"/>
      <c r="C129" s="262">
        <v>1.59</v>
      </c>
      <c r="D129" s="262">
        <v>2.9249999999999998</v>
      </c>
      <c r="E129" s="262"/>
      <c r="F129" s="262"/>
      <c r="G129" s="282"/>
      <c r="H129" s="262"/>
      <c r="I129" s="262">
        <f>C129*D129</f>
        <v>4.6507500000000004</v>
      </c>
      <c r="J129" s="281"/>
      <c r="K129" s="283"/>
      <c r="M129" s="253"/>
      <c r="N129" s="254" t="s">
        <v>41</v>
      </c>
      <c r="O129" s="255"/>
    </row>
    <row r="130" spans="1:15" x14ac:dyDescent="0.2">
      <c r="A130" s="201" t="s">
        <v>45</v>
      </c>
      <c r="B130" s="202"/>
      <c r="C130" s="286">
        <v>1.59</v>
      </c>
      <c r="D130" s="286">
        <v>0.9</v>
      </c>
      <c r="E130" s="288"/>
      <c r="F130" s="288"/>
      <c r="G130" s="289">
        <v>1</v>
      </c>
      <c r="H130" s="288"/>
      <c r="I130" s="290">
        <f>C130*D130*G130*-1</f>
        <v>-1.431</v>
      </c>
      <c r="J130" s="288"/>
      <c r="K130" s="291"/>
      <c r="M130" s="253"/>
      <c r="N130" s="254"/>
      <c r="O130" s="255"/>
    </row>
    <row r="131" spans="1:15" x14ac:dyDescent="0.2">
      <c r="A131" s="203" t="s">
        <v>18</v>
      </c>
      <c r="B131" s="198"/>
      <c r="C131" s="262">
        <v>2.99</v>
      </c>
      <c r="D131" s="262">
        <v>2.9249999999999998</v>
      </c>
      <c r="E131" s="262"/>
      <c r="F131" s="262"/>
      <c r="G131" s="282"/>
      <c r="H131" s="262"/>
      <c r="I131" s="262">
        <f t="shared" ref="I131:I132" si="23">C131*D131</f>
        <v>8.7457499999999992</v>
      </c>
      <c r="J131" s="281"/>
      <c r="K131" s="283"/>
      <c r="M131" s="253"/>
      <c r="N131" s="254" t="s">
        <v>41</v>
      </c>
      <c r="O131" s="255"/>
    </row>
    <row r="132" spans="1:15" x14ac:dyDescent="0.2">
      <c r="A132" s="203" t="s">
        <v>19</v>
      </c>
      <c r="B132" s="198"/>
      <c r="C132" s="262">
        <v>2.99</v>
      </c>
      <c r="D132" s="262">
        <v>2.9249999999999998</v>
      </c>
      <c r="E132" s="262"/>
      <c r="F132" s="262"/>
      <c r="G132" s="263"/>
      <c r="H132" s="262"/>
      <c r="I132" s="262">
        <f t="shared" si="23"/>
        <v>8.7457499999999992</v>
      </c>
      <c r="J132" s="281"/>
      <c r="K132" s="283"/>
      <c r="M132" s="253"/>
      <c r="N132" s="254"/>
      <c r="O132" s="255"/>
    </row>
    <row r="133" spans="1:15" ht="25.5" x14ac:dyDescent="0.2">
      <c r="A133" s="213" t="s">
        <v>56</v>
      </c>
      <c r="B133" s="214" t="s">
        <v>35</v>
      </c>
      <c r="C133" s="310"/>
      <c r="D133" s="310"/>
      <c r="E133" s="310"/>
      <c r="F133" s="310"/>
      <c r="G133" s="311"/>
      <c r="H133" s="310"/>
      <c r="I133" s="318">
        <f>SUM(I134:I135)</f>
        <v>21.004500000000004</v>
      </c>
      <c r="J133" s="313"/>
      <c r="K133" s="292" t="s">
        <v>82</v>
      </c>
      <c r="M133" s="266">
        <v>20.350000000000001</v>
      </c>
      <c r="N133" s="267">
        <f>M133-I133</f>
        <v>-0.6545000000000023</v>
      </c>
      <c r="O133" s="248">
        <f>N133/M133</f>
        <v>-3.2162162162162271E-2</v>
      </c>
    </row>
    <row r="134" spans="1:15" x14ac:dyDescent="0.2">
      <c r="A134" s="199" t="s">
        <v>117</v>
      </c>
      <c r="B134" s="198"/>
      <c r="C134" s="281">
        <v>8.3800000000000008</v>
      </c>
      <c r="D134" s="281"/>
      <c r="E134" s="262"/>
      <c r="F134" s="262">
        <v>2.96</v>
      </c>
      <c r="G134" s="282"/>
      <c r="H134" s="262"/>
      <c r="I134" s="262">
        <f>C134*F134</f>
        <v>24.804800000000004</v>
      </c>
      <c r="J134" s="281"/>
      <c r="K134" s="283"/>
      <c r="M134" s="253"/>
      <c r="N134" s="254"/>
      <c r="O134" s="255"/>
    </row>
    <row r="135" spans="1:15" ht="13.5" thickBot="1" x14ac:dyDescent="0.25">
      <c r="A135" s="222" t="s">
        <v>98</v>
      </c>
      <c r="B135" s="223"/>
      <c r="C135" s="333">
        <v>0.89</v>
      </c>
      <c r="D135" s="333">
        <v>2.1349999999999998</v>
      </c>
      <c r="E135" s="334"/>
      <c r="F135" s="334"/>
      <c r="G135" s="335">
        <v>2</v>
      </c>
      <c r="H135" s="334"/>
      <c r="I135" s="336">
        <f>C135*D135*G135*-1</f>
        <v>-3.8002999999999996</v>
      </c>
      <c r="J135" s="334"/>
      <c r="K135" s="337"/>
      <c r="M135" s="325"/>
      <c r="N135" s="326" t="s">
        <v>41</v>
      </c>
      <c r="O135" s="327"/>
    </row>
    <row r="136" spans="1:15" ht="13.5" thickBot="1" x14ac:dyDescent="0.25"/>
    <row r="137" spans="1:15" ht="13.5" thickBot="1" x14ac:dyDescent="0.25">
      <c r="A137" s="208" t="s">
        <v>57</v>
      </c>
      <c r="B137" s="209"/>
      <c r="C137" s="210" t="s">
        <v>2</v>
      </c>
      <c r="D137" s="210" t="s">
        <v>3</v>
      </c>
      <c r="E137" s="210" t="s">
        <v>4</v>
      </c>
      <c r="F137" s="210" t="s">
        <v>5</v>
      </c>
      <c r="G137" s="211" t="s">
        <v>1</v>
      </c>
      <c r="H137" s="210" t="s">
        <v>6</v>
      </c>
      <c r="I137" s="210" t="s">
        <v>7</v>
      </c>
      <c r="J137" s="210" t="s">
        <v>8</v>
      </c>
      <c r="K137" s="212" t="s">
        <v>9</v>
      </c>
    </row>
    <row r="138" spans="1:15" ht="25.5" x14ac:dyDescent="0.2">
      <c r="A138" s="213" t="s">
        <v>93</v>
      </c>
      <c r="B138" s="214" t="s">
        <v>35</v>
      </c>
      <c r="C138" s="310"/>
      <c r="D138" s="310"/>
      <c r="E138" s="310"/>
      <c r="F138" s="310"/>
      <c r="G138" s="311"/>
      <c r="H138" s="310"/>
      <c r="I138" s="318">
        <f>SUM(I139:I141)</f>
        <v>9.4483999999999995</v>
      </c>
      <c r="J138" s="310"/>
      <c r="K138" s="292"/>
      <c r="M138" s="314">
        <v>9.4499999999999993</v>
      </c>
      <c r="N138" s="315">
        <f>M138-I138</f>
        <v>1.5999999999998238E-3</v>
      </c>
      <c r="O138" s="316">
        <f>N138/M138</f>
        <v>1.6931216931215067E-4</v>
      </c>
    </row>
    <row r="139" spans="1:15" x14ac:dyDescent="0.2">
      <c r="A139" s="221" t="s">
        <v>81</v>
      </c>
      <c r="B139" s="198"/>
      <c r="C139" s="281"/>
      <c r="D139" s="281"/>
      <c r="E139" s="262"/>
      <c r="F139" s="262"/>
      <c r="G139" s="282"/>
      <c r="H139" s="262"/>
      <c r="I139" s="262"/>
      <c r="J139" s="281"/>
      <c r="K139" s="283"/>
      <c r="M139" s="253"/>
      <c r="N139" s="254" t="s">
        <v>41</v>
      </c>
      <c r="O139" s="255"/>
    </row>
    <row r="140" spans="1:15" x14ac:dyDescent="0.2">
      <c r="A140" s="197" t="s">
        <v>91</v>
      </c>
      <c r="B140" s="198"/>
      <c r="C140" s="281">
        <v>1.57</v>
      </c>
      <c r="D140" s="281">
        <v>2.99</v>
      </c>
      <c r="E140" s="262"/>
      <c r="F140" s="262"/>
      <c r="G140" s="282"/>
      <c r="H140" s="262"/>
      <c r="I140" s="262">
        <f>C140*D140</f>
        <v>4.6943000000000001</v>
      </c>
      <c r="J140" s="281"/>
      <c r="K140" s="283"/>
      <c r="M140" s="253"/>
      <c r="N140" s="254" t="s">
        <v>41</v>
      </c>
      <c r="O140" s="255"/>
    </row>
    <row r="141" spans="1:15" ht="13.5" thickBot="1" x14ac:dyDescent="0.25">
      <c r="A141" s="217" t="s">
        <v>92</v>
      </c>
      <c r="B141" s="218"/>
      <c r="C141" s="323">
        <v>1.59</v>
      </c>
      <c r="D141" s="323">
        <v>2.99</v>
      </c>
      <c r="E141" s="321"/>
      <c r="F141" s="321"/>
      <c r="G141" s="330"/>
      <c r="H141" s="321"/>
      <c r="I141" s="321">
        <f t="shared" ref="I141" si="24">C141*D141</f>
        <v>4.7541000000000002</v>
      </c>
      <c r="J141" s="323"/>
      <c r="K141" s="324"/>
      <c r="M141" s="325"/>
      <c r="N141" s="326" t="s">
        <v>41</v>
      </c>
      <c r="O141" s="327"/>
    </row>
    <row r="142" spans="1:15" ht="13.5" thickBot="1" x14ac:dyDescent="0.25"/>
    <row r="143" spans="1:15" ht="13.5" thickBot="1" x14ac:dyDescent="0.25">
      <c r="A143" s="208" t="s">
        <v>64</v>
      </c>
      <c r="B143" s="209"/>
      <c r="C143" s="210" t="s">
        <v>2</v>
      </c>
      <c r="D143" s="210" t="s">
        <v>3</v>
      </c>
      <c r="E143" s="210" t="s">
        <v>61</v>
      </c>
      <c r="F143" s="210"/>
      <c r="G143" s="211" t="s">
        <v>1</v>
      </c>
      <c r="H143" s="210" t="s">
        <v>6</v>
      </c>
      <c r="I143" s="210" t="s">
        <v>7</v>
      </c>
      <c r="J143" s="210" t="s">
        <v>8</v>
      </c>
      <c r="K143" s="212" t="s">
        <v>9</v>
      </c>
    </row>
    <row r="144" spans="1:15" ht="25.5" x14ac:dyDescent="0.2">
      <c r="A144" s="213" t="s">
        <v>55</v>
      </c>
      <c r="B144" s="225" t="s">
        <v>10</v>
      </c>
      <c r="C144" s="310"/>
      <c r="D144" s="310"/>
      <c r="E144" s="310"/>
      <c r="F144" s="310"/>
      <c r="G144" s="311"/>
      <c r="H144" s="310"/>
      <c r="I144" s="318">
        <f>I145</f>
        <v>2.3450699999999998</v>
      </c>
      <c r="J144" s="313"/>
      <c r="K144" s="292"/>
      <c r="M144" s="314">
        <f>A145*M117</f>
        <v>2.3435000000000001</v>
      </c>
      <c r="N144" s="315">
        <f>M144-I144</f>
        <v>-1.5699999999996272E-3</v>
      </c>
      <c r="O144" s="316">
        <f>N144/M144</f>
        <v>-6.6993812673335918E-4</v>
      </c>
    </row>
    <row r="145" spans="1:15" x14ac:dyDescent="0.2">
      <c r="A145" s="226">
        <v>0.05</v>
      </c>
      <c r="B145" s="227"/>
      <c r="C145" s="262"/>
      <c r="D145" s="262"/>
      <c r="E145" s="262"/>
      <c r="F145" s="262"/>
      <c r="G145" s="282"/>
      <c r="H145" s="262"/>
      <c r="I145" s="262">
        <f>A145*I117</f>
        <v>2.3450699999999998</v>
      </c>
      <c r="J145" s="281"/>
      <c r="K145" s="283"/>
      <c r="M145" s="253"/>
      <c r="N145" s="254" t="s">
        <v>41</v>
      </c>
      <c r="O145" s="255"/>
    </row>
    <row r="146" spans="1:15" ht="25.5" x14ac:dyDescent="0.2">
      <c r="A146" s="213" t="s">
        <v>93</v>
      </c>
      <c r="B146" s="225" t="s">
        <v>10</v>
      </c>
      <c r="C146" s="310"/>
      <c r="D146" s="310"/>
      <c r="E146" s="310"/>
      <c r="F146" s="310"/>
      <c r="G146" s="311"/>
      <c r="H146" s="310"/>
      <c r="I146" s="318">
        <f>I147</f>
        <v>0.47242000000000001</v>
      </c>
      <c r="J146" s="313"/>
      <c r="K146" s="292"/>
      <c r="M146" s="266">
        <f>A147*M138</f>
        <v>0.47249999999999998</v>
      </c>
      <c r="N146" s="267">
        <f>M146-I146</f>
        <v>7.9999999999968985E-5</v>
      </c>
      <c r="O146" s="248">
        <f>N146/M146</f>
        <v>1.6931216931210369E-4</v>
      </c>
    </row>
    <row r="147" spans="1:15" ht="13.5" thickBot="1" x14ac:dyDescent="0.25">
      <c r="A147" s="228">
        <v>0.05</v>
      </c>
      <c r="B147" s="229"/>
      <c r="C147" s="329"/>
      <c r="D147" s="329"/>
      <c r="E147" s="329"/>
      <c r="F147" s="329"/>
      <c r="G147" s="338"/>
      <c r="H147" s="329"/>
      <c r="I147" s="329">
        <f>A147*I138</f>
        <v>0.47242000000000001</v>
      </c>
      <c r="J147" s="339"/>
      <c r="K147" s="340"/>
      <c r="M147" s="325"/>
      <c r="N147" s="326" t="s">
        <v>41</v>
      </c>
      <c r="O147" s="327"/>
    </row>
    <row r="148" spans="1:15" ht="13.5" thickBot="1" x14ac:dyDescent="0.25"/>
    <row r="149" spans="1:15" ht="13.5" thickBot="1" x14ac:dyDescent="0.25">
      <c r="A149" s="208" t="s">
        <v>99</v>
      </c>
      <c r="B149" s="209"/>
      <c r="C149" s="210" t="s">
        <v>2</v>
      </c>
      <c r="D149" s="210" t="s">
        <v>3</v>
      </c>
      <c r="E149" s="210" t="s">
        <v>4</v>
      </c>
      <c r="F149" s="210" t="s">
        <v>5</v>
      </c>
      <c r="G149" s="211" t="s">
        <v>1</v>
      </c>
      <c r="H149" s="210" t="s">
        <v>6</v>
      </c>
      <c r="I149" s="210" t="s">
        <v>7</v>
      </c>
      <c r="J149" s="210" t="s">
        <v>8</v>
      </c>
      <c r="K149" s="212" t="s">
        <v>9</v>
      </c>
    </row>
    <row r="150" spans="1:15" x14ac:dyDescent="0.2">
      <c r="A150" s="213" t="s">
        <v>100</v>
      </c>
      <c r="B150" s="214" t="s">
        <v>35</v>
      </c>
      <c r="C150" s="310"/>
      <c r="D150" s="310"/>
      <c r="E150" s="310"/>
      <c r="F150" s="310"/>
      <c r="G150" s="311"/>
      <c r="H150" s="310"/>
      <c r="I150" s="318">
        <f>SUM(I151:I153)</f>
        <v>9.4483999999999995</v>
      </c>
      <c r="J150" s="310"/>
      <c r="K150" s="292"/>
      <c r="M150" s="314">
        <v>9.4499999999999993</v>
      </c>
      <c r="N150" s="315">
        <f>M150-I150</f>
        <v>1.5999999999998238E-3</v>
      </c>
      <c r="O150" s="316">
        <f>N150/M150</f>
        <v>1.6931216931215067E-4</v>
      </c>
    </row>
    <row r="151" spans="1:15" x14ac:dyDescent="0.2">
      <c r="A151" s="221" t="s">
        <v>81</v>
      </c>
      <c r="B151" s="198"/>
      <c r="C151" s="281"/>
      <c r="D151" s="281"/>
      <c r="E151" s="262"/>
      <c r="F151" s="262"/>
      <c r="G151" s="282"/>
      <c r="H151" s="262"/>
      <c r="I151" s="262"/>
      <c r="J151" s="281"/>
      <c r="K151" s="283"/>
      <c r="M151" s="253"/>
      <c r="N151" s="254" t="s">
        <v>41</v>
      </c>
      <c r="O151" s="255"/>
    </row>
    <row r="152" spans="1:15" x14ac:dyDescent="0.2">
      <c r="A152" s="197" t="s">
        <v>91</v>
      </c>
      <c r="B152" s="198"/>
      <c r="C152" s="281">
        <v>1.57</v>
      </c>
      <c r="D152" s="281">
        <v>2.99</v>
      </c>
      <c r="E152" s="262"/>
      <c r="F152" s="262"/>
      <c r="G152" s="282"/>
      <c r="H152" s="262"/>
      <c r="I152" s="262">
        <f>C152*D152</f>
        <v>4.6943000000000001</v>
      </c>
      <c r="J152" s="281"/>
      <c r="K152" s="283"/>
      <c r="M152" s="253"/>
      <c r="N152" s="254" t="s">
        <v>41</v>
      </c>
      <c r="O152" s="255"/>
    </row>
    <row r="153" spans="1:15" ht="13.5" thickBot="1" x14ac:dyDescent="0.25">
      <c r="A153" s="217" t="s">
        <v>92</v>
      </c>
      <c r="B153" s="218"/>
      <c r="C153" s="323">
        <v>1.59</v>
      </c>
      <c r="D153" s="323">
        <v>2.99</v>
      </c>
      <c r="E153" s="321"/>
      <c r="F153" s="321"/>
      <c r="G153" s="330"/>
      <c r="H153" s="321"/>
      <c r="I153" s="321">
        <f t="shared" ref="I153" si="25">C153*D153</f>
        <v>4.7541000000000002</v>
      </c>
      <c r="J153" s="323"/>
      <c r="K153" s="324"/>
      <c r="M153" s="325"/>
      <c r="N153" s="326" t="s">
        <v>41</v>
      </c>
      <c r="O153" s="327"/>
    </row>
    <row r="154" spans="1:15" ht="13.5" thickBot="1" x14ac:dyDescent="0.25"/>
    <row r="155" spans="1:15" ht="13.5" thickBot="1" x14ac:dyDescent="0.25">
      <c r="A155" s="208" t="s">
        <v>58</v>
      </c>
      <c r="B155" s="209"/>
      <c r="C155" s="210" t="s">
        <v>2</v>
      </c>
      <c r="D155" s="210" t="s">
        <v>3</v>
      </c>
      <c r="E155" s="210" t="s">
        <v>4</v>
      </c>
      <c r="F155" s="210" t="s">
        <v>5</v>
      </c>
      <c r="G155" s="211" t="s">
        <v>1</v>
      </c>
      <c r="H155" s="210" t="s">
        <v>6</v>
      </c>
      <c r="I155" s="210" t="s">
        <v>7</v>
      </c>
      <c r="J155" s="210" t="s">
        <v>8</v>
      </c>
      <c r="K155" s="212" t="s">
        <v>9</v>
      </c>
    </row>
    <row r="156" spans="1:15" x14ac:dyDescent="0.2">
      <c r="A156" s="213" t="s">
        <v>59</v>
      </c>
      <c r="B156" s="225" t="s">
        <v>35</v>
      </c>
      <c r="C156" s="310"/>
      <c r="D156" s="310"/>
      <c r="E156" s="310"/>
      <c r="F156" s="310"/>
      <c r="G156" s="311"/>
      <c r="H156" s="341"/>
      <c r="I156" s="318">
        <f>SUM(I157:I158)</f>
        <v>0.25600000000000001</v>
      </c>
      <c r="J156" s="310"/>
      <c r="K156" s="292"/>
      <c r="M156" s="314">
        <v>0.26</v>
      </c>
      <c r="N156" s="315">
        <f>M156-I156</f>
        <v>4.0000000000000036E-3</v>
      </c>
      <c r="O156" s="316">
        <f>N156/M156</f>
        <v>1.5384615384615398E-2</v>
      </c>
    </row>
    <row r="157" spans="1:15" x14ac:dyDescent="0.2">
      <c r="A157" s="197" t="s">
        <v>95</v>
      </c>
      <c r="B157" s="198"/>
      <c r="C157" s="262">
        <v>0.8</v>
      </c>
      <c r="D157" s="281">
        <v>0.16</v>
      </c>
      <c r="E157" s="262"/>
      <c r="F157" s="262"/>
      <c r="G157" s="263">
        <v>1</v>
      </c>
      <c r="H157" s="262">
        <f t="shared" ref="H157:H158" si="26">C157*G157</f>
        <v>0.8</v>
      </c>
      <c r="I157" s="262">
        <f t="shared" ref="I157:I158" si="27">H157*D157</f>
        <v>0.128</v>
      </c>
      <c r="J157" s="281"/>
      <c r="K157" s="283"/>
      <c r="M157" s="253"/>
      <c r="N157" s="254"/>
      <c r="O157" s="255"/>
    </row>
    <row r="158" spans="1:15" ht="13.5" thickBot="1" x14ac:dyDescent="0.25">
      <c r="A158" s="217" t="s">
        <v>95</v>
      </c>
      <c r="B158" s="218"/>
      <c r="C158" s="321">
        <v>0.8</v>
      </c>
      <c r="D158" s="323">
        <v>0.16</v>
      </c>
      <c r="E158" s="321"/>
      <c r="F158" s="321"/>
      <c r="G158" s="322">
        <v>1</v>
      </c>
      <c r="H158" s="321">
        <f t="shared" si="26"/>
        <v>0.8</v>
      </c>
      <c r="I158" s="321">
        <f t="shared" si="27"/>
        <v>0.128</v>
      </c>
      <c r="J158" s="323"/>
      <c r="K158" s="324"/>
      <c r="M158" s="342"/>
      <c r="N158" s="343"/>
      <c r="O158" s="344"/>
    </row>
    <row r="159" spans="1:15" ht="13.5" thickBot="1" x14ac:dyDescent="0.25"/>
    <row r="160" spans="1:15" ht="13.5" thickBot="1" x14ac:dyDescent="0.25">
      <c r="A160" s="230" t="s">
        <v>60</v>
      </c>
      <c r="B160" s="231"/>
      <c r="C160" s="210" t="s">
        <v>2</v>
      </c>
      <c r="D160" s="210" t="s">
        <v>3</v>
      </c>
      <c r="E160" s="210" t="s">
        <v>61</v>
      </c>
      <c r="F160" s="210"/>
      <c r="G160" s="211" t="s">
        <v>1</v>
      </c>
      <c r="H160" s="210" t="s">
        <v>6</v>
      </c>
      <c r="I160" s="210" t="s">
        <v>7</v>
      </c>
      <c r="J160" s="210" t="s">
        <v>8</v>
      </c>
      <c r="K160" s="212" t="s">
        <v>9</v>
      </c>
    </row>
    <row r="161" spans="1:15" ht="25.5" x14ac:dyDescent="0.2">
      <c r="A161" s="232" t="s">
        <v>244</v>
      </c>
      <c r="B161" s="233" t="s">
        <v>1</v>
      </c>
      <c r="C161" s="345">
        <v>0.8</v>
      </c>
      <c r="D161" s="341">
        <v>2.1</v>
      </c>
      <c r="E161" s="341"/>
      <c r="F161" s="341"/>
      <c r="G161" s="346">
        <f>SUM(G162:G163)</f>
        <v>2</v>
      </c>
      <c r="H161" s="341"/>
      <c r="I161" s="341">
        <f>G161*C161*D161*3</f>
        <v>10.080000000000002</v>
      </c>
      <c r="J161" s="341"/>
      <c r="K161" s="347" t="s">
        <v>62</v>
      </c>
      <c r="M161" s="348">
        <f>1+1</f>
        <v>2</v>
      </c>
      <c r="N161" s="349">
        <f>M161-G161</f>
        <v>0</v>
      </c>
      <c r="O161" s="316">
        <f>N161/M161</f>
        <v>0</v>
      </c>
    </row>
    <row r="162" spans="1:15" x14ac:dyDescent="0.2">
      <c r="A162" s="197" t="s">
        <v>91</v>
      </c>
      <c r="B162" s="198"/>
      <c r="C162" s="262"/>
      <c r="D162" s="281"/>
      <c r="E162" s="262"/>
      <c r="F162" s="262"/>
      <c r="G162" s="263">
        <v>1</v>
      </c>
      <c r="H162" s="262"/>
      <c r="I162" s="262"/>
      <c r="J162" s="281"/>
      <c r="K162" s="283"/>
      <c r="M162" s="253"/>
      <c r="N162" s="254"/>
      <c r="O162" s="255"/>
    </row>
    <row r="163" spans="1:15" ht="13.5" thickBot="1" x14ac:dyDescent="0.25">
      <c r="A163" s="217" t="s">
        <v>92</v>
      </c>
      <c r="B163" s="218"/>
      <c r="C163" s="321"/>
      <c r="D163" s="323"/>
      <c r="E163" s="321"/>
      <c r="F163" s="321"/>
      <c r="G163" s="322">
        <v>1</v>
      </c>
      <c r="H163" s="321"/>
      <c r="I163" s="321"/>
      <c r="J163" s="323"/>
      <c r="K163" s="324"/>
      <c r="M163" s="325"/>
      <c r="N163" s="326"/>
      <c r="O163" s="327"/>
    </row>
    <row r="164" spans="1:15" ht="13.5" thickBot="1" x14ac:dyDescent="0.25"/>
    <row r="165" spans="1:15" ht="13.5" thickBot="1" x14ac:dyDescent="0.25">
      <c r="A165" s="208" t="s">
        <v>63</v>
      </c>
      <c r="B165" s="209"/>
      <c r="C165" s="210" t="s">
        <v>2</v>
      </c>
      <c r="D165" s="210" t="s">
        <v>3</v>
      </c>
      <c r="E165" s="210" t="s">
        <v>4</v>
      </c>
      <c r="F165" s="210" t="s">
        <v>5</v>
      </c>
      <c r="G165" s="211" t="s">
        <v>1</v>
      </c>
      <c r="H165" s="210" t="s">
        <v>6</v>
      </c>
      <c r="I165" s="210" t="s">
        <v>7</v>
      </c>
      <c r="J165" s="210" t="s">
        <v>8</v>
      </c>
      <c r="K165" s="212" t="s">
        <v>9</v>
      </c>
    </row>
    <row r="166" spans="1:15" x14ac:dyDescent="0.2">
      <c r="A166" s="234" t="s">
        <v>65</v>
      </c>
      <c r="B166" s="225" t="s">
        <v>1</v>
      </c>
      <c r="C166" s="341"/>
      <c r="D166" s="341"/>
      <c r="E166" s="341"/>
      <c r="F166" s="341"/>
      <c r="G166" s="350">
        <f>SUM(G167:G168)</f>
        <v>2</v>
      </c>
      <c r="H166" s="341"/>
      <c r="I166" s="318">
        <f>SUM(I167:I168)</f>
        <v>0.9</v>
      </c>
      <c r="J166" s="341"/>
      <c r="K166" s="351"/>
      <c r="M166" s="348">
        <v>2</v>
      </c>
      <c r="N166" s="349">
        <f>M166-G166</f>
        <v>0</v>
      </c>
      <c r="O166" s="316">
        <f>N166/M166</f>
        <v>0</v>
      </c>
    </row>
    <row r="167" spans="1:15" x14ac:dyDescent="0.2">
      <c r="A167" s="192" t="s">
        <v>91</v>
      </c>
      <c r="B167" s="193"/>
      <c r="C167" s="262">
        <v>0.5</v>
      </c>
      <c r="D167" s="262">
        <v>0.9</v>
      </c>
      <c r="E167" s="264"/>
      <c r="F167" s="264"/>
      <c r="G167" s="263">
        <v>1</v>
      </c>
      <c r="H167" s="262"/>
      <c r="I167" s="262">
        <f>C167*D167</f>
        <v>0.45</v>
      </c>
      <c r="J167" s="264"/>
      <c r="K167" s="283"/>
      <c r="M167" s="253"/>
      <c r="N167" s="261"/>
      <c r="O167" s="255"/>
    </row>
    <row r="168" spans="1:15" ht="13.5" thickBot="1" x14ac:dyDescent="0.25">
      <c r="A168" s="235" t="s">
        <v>92</v>
      </c>
      <c r="B168" s="236"/>
      <c r="C168" s="321">
        <v>0.5</v>
      </c>
      <c r="D168" s="321">
        <v>0.9</v>
      </c>
      <c r="E168" s="320"/>
      <c r="F168" s="320"/>
      <c r="G168" s="322">
        <v>1</v>
      </c>
      <c r="H168" s="321"/>
      <c r="I168" s="321">
        <f t="shared" ref="I168" si="28">C168*D168</f>
        <v>0.45</v>
      </c>
      <c r="J168" s="320"/>
      <c r="K168" s="324"/>
      <c r="M168" s="325"/>
      <c r="N168" s="326" t="s">
        <v>41</v>
      </c>
      <c r="O168" s="327"/>
    </row>
    <row r="169" spans="1:15" ht="13.5" thickBot="1" x14ac:dyDescent="0.25"/>
    <row r="170" spans="1:15" ht="13.5" thickBot="1" x14ac:dyDescent="0.25">
      <c r="A170" s="208" t="s">
        <v>66</v>
      </c>
      <c r="B170" s="209"/>
      <c r="C170" s="210" t="s">
        <v>2</v>
      </c>
      <c r="D170" s="210" t="s">
        <v>3</v>
      </c>
      <c r="E170" s="210" t="s">
        <v>4</v>
      </c>
      <c r="F170" s="210" t="s">
        <v>5</v>
      </c>
      <c r="G170" s="211" t="s">
        <v>1</v>
      </c>
      <c r="H170" s="210" t="s">
        <v>6</v>
      </c>
      <c r="I170" s="210" t="s">
        <v>7</v>
      </c>
      <c r="J170" s="210" t="s">
        <v>8</v>
      </c>
      <c r="K170" s="212" t="s">
        <v>9</v>
      </c>
    </row>
    <row r="171" spans="1:15" ht="25.5" x14ac:dyDescent="0.2">
      <c r="A171" s="213" t="s">
        <v>67</v>
      </c>
      <c r="B171" s="225" t="s">
        <v>1</v>
      </c>
      <c r="C171" s="310"/>
      <c r="D171" s="310"/>
      <c r="E171" s="310"/>
      <c r="F171" s="310"/>
      <c r="G171" s="350">
        <f>G172+G173</f>
        <v>2</v>
      </c>
      <c r="H171" s="310"/>
      <c r="I171" s="310"/>
      <c r="J171" s="310"/>
      <c r="K171" s="292"/>
      <c r="M171" s="348">
        <v>2</v>
      </c>
      <c r="N171" s="349">
        <f>M171-G171</f>
        <v>0</v>
      </c>
      <c r="O171" s="316">
        <f>N171/M171</f>
        <v>0</v>
      </c>
    </row>
    <row r="172" spans="1:15" x14ac:dyDescent="0.2">
      <c r="A172" s="192" t="s">
        <v>91</v>
      </c>
      <c r="B172" s="193"/>
      <c r="C172" s="262"/>
      <c r="D172" s="264"/>
      <c r="E172" s="264"/>
      <c r="F172" s="264"/>
      <c r="G172" s="352">
        <v>1</v>
      </c>
      <c r="H172" s="262"/>
      <c r="I172" s="262"/>
      <c r="J172" s="264"/>
      <c r="K172" s="283"/>
      <c r="M172" s="253"/>
      <c r="N172" s="254" t="s">
        <v>41</v>
      </c>
      <c r="O172" s="255"/>
    </row>
    <row r="173" spans="1:15" x14ac:dyDescent="0.2">
      <c r="A173" s="237" t="s">
        <v>92</v>
      </c>
      <c r="B173" s="238"/>
      <c r="C173" s="284"/>
      <c r="D173" s="353"/>
      <c r="E173" s="353"/>
      <c r="F173" s="353"/>
      <c r="G173" s="352">
        <v>1</v>
      </c>
      <c r="H173" s="284"/>
      <c r="I173" s="284"/>
      <c r="J173" s="353"/>
      <c r="K173" s="354"/>
      <c r="M173" s="253"/>
      <c r="N173" s="254" t="s">
        <v>41</v>
      </c>
      <c r="O173" s="255"/>
    </row>
    <row r="174" spans="1:15" ht="25.5" x14ac:dyDescent="0.2">
      <c r="A174" s="213" t="s">
        <v>68</v>
      </c>
      <c r="B174" s="225" t="s">
        <v>1</v>
      </c>
      <c r="C174" s="310"/>
      <c r="D174" s="310"/>
      <c r="E174" s="310"/>
      <c r="F174" s="310"/>
      <c r="G174" s="350">
        <f>G175+G176</f>
        <v>2</v>
      </c>
      <c r="H174" s="310"/>
      <c r="I174" s="310"/>
      <c r="J174" s="310"/>
      <c r="K174" s="292"/>
      <c r="M174" s="246">
        <v>2</v>
      </c>
      <c r="N174" s="247">
        <f>M174-G174</f>
        <v>0</v>
      </c>
      <c r="O174" s="248">
        <f>N174/M174</f>
        <v>0</v>
      </c>
    </row>
    <row r="175" spans="1:15" x14ac:dyDescent="0.2">
      <c r="A175" s="192" t="s">
        <v>91</v>
      </c>
      <c r="B175" s="238"/>
      <c r="C175" s="284"/>
      <c r="D175" s="353"/>
      <c r="E175" s="353"/>
      <c r="F175" s="353"/>
      <c r="G175" s="352">
        <v>1</v>
      </c>
      <c r="H175" s="284"/>
      <c r="I175" s="284"/>
      <c r="J175" s="353"/>
      <c r="K175" s="354"/>
      <c r="M175" s="253"/>
      <c r="N175" s="254" t="s">
        <v>41</v>
      </c>
      <c r="O175" s="255"/>
    </row>
    <row r="176" spans="1:15" x14ac:dyDescent="0.2">
      <c r="A176" s="237" t="s">
        <v>92</v>
      </c>
      <c r="B176" s="193"/>
      <c r="C176" s="262"/>
      <c r="D176" s="264"/>
      <c r="E176" s="264"/>
      <c r="F176" s="264"/>
      <c r="G176" s="352">
        <v>1</v>
      </c>
      <c r="H176" s="262"/>
      <c r="I176" s="262"/>
      <c r="J176" s="264"/>
      <c r="K176" s="283"/>
      <c r="M176" s="253"/>
      <c r="N176" s="254"/>
      <c r="O176" s="255"/>
    </row>
    <row r="177" spans="1:15" ht="25.5" x14ac:dyDescent="0.2">
      <c r="A177" s="213" t="s">
        <v>69</v>
      </c>
      <c r="B177" s="225" t="s">
        <v>1</v>
      </c>
      <c r="C177" s="310"/>
      <c r="D177" s="310"/>
      <c r="E177" s="310"/>
      <c r="F177" s="310"/>
      <c r="G177" s="350">
        <f>G178+G179</f>
        <v>2</v>
      </c>
      <c r="H177" s="310"/>
      <c r="I177" s="310"/>
      <c r="J177" s="310"/>
      <c r="K177" s="292"/>
      <c r="M177" s="246">
        <v>2</v>
      </c>
      <c r="N177" s="247">
        <f>M177-G177</f>
        <v>0</v>
      </c>
      <c r="O177" s="248">
        <f>N177/M177</f>
        <v>0</v>
      </c>
    </row>
    <row r="178" spans="1:15" x14ac:dyDescent="0.2">
      <c r="A178" s="192" t="s">
        <v>91</v>
      </c>
      <c r="B178" s="238"/>
      <c r="C178" s="284"/>
      <c r="D178" s="353"/>
      <c r="E178" s="353"/>
      <c r="F178" s="353"/>
      <c r="G178" s="352">
        <v>1</v>
      </c>
      <c r="H178" s="284"/>
      <c r="I178" s="284"/>
      <c r="J178" s="353"/>
      <c r="K178" s="354"/>
      <c r="M178" s="253"/>
      <c r="N178" s="254" t="s">
        <v>41</v>
      </c>
      <c r="O178" s="255"/>
    </row>
    <row r="179" spans="1:15" x14ac:dyDescent="0.2">
      <c r="A179" s="237" t="s">
        <v>92</v>
      </c>
      <c r="B179" s="193"/>
      <c r="C179" s="262"/>
      <c r="D179" s="264"/>
      <c r="E179" s="264"/>
      <c r="F179" s="264"/>
      <c r="G179" s="352">
        <v>1</v>
      </c>
      <c r="H179" s="262"/>
      <c r="I179" s="262"/>
      <c r="J179" s="264"/>
      <c r="K179" s="283"/>
      <c r="M179" s="253"/>
      <c r="N179" s="254"/>
      <c r="O179" s="255"/>
    </row>
    <row r="180" spans="1:15" x14ac:dyDescent="0.2">
      <c r="A180" s="213" t="s">
        <v>70</v>
      </c>
      <c r="B180" s="225" t="s">
        <v>1</v>
      </c>
      <c r="C180" s="310"/>
      <c r="D180" s="310"/>
      <c r="E180" s="310"/>
      <c r="F180" s="310"/>
      <c r="G180" s="350">
        <f>G181+G182</f>
        <v>2</v>
      </c>
      <c r="H180" s="310"/>
      <c r="I180" s="310"/>
      <c r="J180" s="310"/>
      <c r="K180" s="292"/>
      <c r="M180" s="246">
        <v>2</v>
      </c>
      <c r="N180" s="247">
        <f>M180-G180</f>
        <v>0</v>
      </c>
      <c r="O180" s="248">
        <f>N180/M180</f>
        <v>0</v>
      </c>
    </row>
    <row r="181" spans="1:15" x14ac:dyDescent="0.2">
      <c r="A181" s="192" t="s">
        <v>91</v>
      </c>
      <c r="B181" s="238"/>
      <c r="C181" s="284"/>
      <c r="D181" s="353"/>
      <c r="E181" s="353"/>
      <c r="F181" s="353"/>
      <c r="G181" s="352">
        <v>1</v>
      </c>
      <c r="H181" s="284"/>
      <c r="I181" s="284"/>
      <c r="J181" s="353"/>
      <c r="K181" s="354"/>
      <c r="M181" s="253"/>
      <c r="N181" s="254" t="s">
        <v>41</v>
      </c>
      <c r="O181" s="255"/>
    </row>
    <row r="182" spans="1:15" x14ac:dyDescent="0.2">
      <c r="A182" s="237" t="s">
        <v>92</v>
      </c>
      <c r="B182" s="193"/>
      <c r="C182" s="262"/>
      <c r="D182" s="264"/>
      <c r="E182" s="264"/>
      <c r="F182" s="264"/>
      <c r="G182" s="352">
        <v>1</v>
      </c>
      <c r="H182" s="262"/>
      <c r="I182" s="262"/>
      <c r="J182" s="264"/>
      <c r="K182" s="283"/>
      <c r="M182" s="253"/>
      <c r="N182" s="254"/>
      <c r="O182" s="255"/>
    </row>
    <row r="183" spans="1:15" x14ac:dyDescent="0.2">
      <c r="A183" s="213" t="s">
        <v>71</v>
      </c>
      <c r="B183" s="225" t="s">
        <v>1</v>
      </c>
      <c r="C183" s="310"/>
      <c r="D183" s="310"/>
      <c r="E183" s="310"/>
      <c r="F183" s="310"/>
      <c r="G183" s="350">
        <f>G184+G185</f>
        <v>2</v>
      </c>
      <c r="H183" s="310"/>
      <c r="I183" s="310"/>
      <c r="J183" s="310"/>
      <c r="K183" s="292"/>
      <c r="M183" s="246">
        <v>2</v>
      </c>
      <c r="N183" s="247">
        <f>M183-G183</f>
        <v>0</v>
      </c>
      <c r="O183" s="248">
        <f>N183/M183</f>
        <v>0</v>
      </c>
    </row>
    <row r="184" spans="1:15" x14ac:dyDescent="0.2">
      <c r="A184" s="192" t="s">
        <v>91</v>
      </c>
      <c r="B184" s="238"/>
      <c r="C184" s="284"/>
      <c r="D184" s="353"/>
      <c r="E184" s="353"/>
      <c r="F184" s="353"/>
      <c r="G184" s="352">
        <v>1</v>
      </c>
      <c r="H184" s="284"/>
      <c r="I184" s="284"/>
      <c r="J184" s="353"/>
      <c r="K184" s="354"/>
      <c r="M184" s="253"/>
      <c r="N184" s="254" t="s">
        <v>41</v>
      </c>
      <c r="O184" s="255"/>
    </row>
    <row r="185" spans="1:15" x14ac:dyDescent="0.2">
      <c r="A185" s="237" t="s">
        <v>92</v>
      </c>
      <c r="B185" s="193"/>
      <c r="C185" s="262"/>
      <c r="D185" s="264"/>
      <c r="E185" s="264"/>
      <c r="F185" s="264"/>
      <c r="G185" s="352">
        <v>1</v>
      </c>
      <c r="H185" s="262"/>
      <c r="I185" s="262"/>
      <c r="J185" s="264"/>
      <c r="K185" s="283"/>
      <c r="M185" s="253"/>
      <c r="N185" s="254"/>
      <c r="O185" s="255"/>
    </row>
    <row r="186" spans="1:15" ht="27" customHeight="1" x14ac:dyDescent="0.2">
      <c r="A186" s="213" t="s">
        <v>72</v>
      </c>
      <c r="B186" s="225" t="s">
        <v>1</v>
      </c>
      <c r="C186" s="310"/>
      <c r="D186" s="310"/>
      <c r="E186" s="310"/>
      <c r="F186" s="310"/>
      <c r="G186" s="350">
        <f>G187+G188</f>
        <v>2</v>
      </c>
      <c r="H186" s="310"/>
      <c r="I186" s="310"/>
      <c r="J186" s="310"/>
      <c r="K186" s="292"/>
      <c r="M186" s="246">
        <v>2</v>
      </c>
      <c r="N186" s="247">
        <f>M186-G186</f>
        <v>0</v>
      </c>
      <c r="O186" s="248">
        <f>N186/M186</f>
        <v>0</v>
      </c>
    </row>
    <row r="187" spans="1:15" x14ac:dyDescent="0.2">
      <c r="A187" s="192" t="s">
        <v>91</v>
      </c>
      <c r="B187" s="238"/>
      <c r="C187" s="284"/>
      <c r="D187" s="353"/>
      <c r="E187" s="353"/>
      <c r="F187" s="353"/>
      <c r="G187" s="352">
        <v>1</v>
      </c>
      <c r="H187" s="284"/>
      <c r="I187" s="284"/>
      <c r="J187" s="353"/>
      <c r="K187" s="354"/>
      <c r="M187" s="253"/>
      <c r="N187" s="254" t="s">
        <v>41</v>
      </c>
      <c r="O187" s="255"/>
    </row>
    <row r="188" spans="1:15" x14ac:dyDescent="0.2">
      <c r="A188" s="237" t="s">
        <v>92</v>
      </c>
      <c r="B188" s="193"/>
      <c r="C188" s="262"/>
      <c r="D188" s="264"/>
      <c r="E188" s="264"/>
      <c r="F188" s="264"/>
      <c r="G188" s="352">
        <v>1</v>
      </c>
      <c r="H188" s="262"/>
      <c r="I188" s="262"/>
      <c r="J188" s="264"/>
      <c r="K188" s="283"/>
      <c r="M188" s="253"/>
      <c r="N188" s="254"/>
      <c r="O188" s="255"/>
    </row>
    <row r="189" spans="1:15" ht="25.5" x14ac:dyDescent="0.2">
      <c r="A189" s="213" t="s">
        <v>73</v>
      </c>
      <c r="B189" s="225" t="s">
        <v>1</v>
      </c>
      <c r="C189" s="310"/>
      <c r="D189" s="310"/>
      <c r="E189" s="310"/>
      <c r="F189" s="310"/>
      <c r="G189" s="350">
        <f>G190+G191</f>
        <v>4</v>
      </c>
      <c r="H189" s="310"/>
      <c r="I189" s="310"/>
      <c r="J189" s="310"/>
      <c r="K189" s="292"/>
      <c r="M189" s="246">
        <v>4</v>
      </c>
      <c r="N189" s="247">
        <f>M189-G189</f>
        <v>0</v>
      </c>
      <c r="O189" s="248">
        <f>N189/M189</f>
        <v>0</v>
      </c>
    </row>
    <row r="190" spans="1:15" x14ac:dyDescent="0.2">
      <c r="A190" s="192" t="s">
        <v>91</v>
      </c>
      <c r="B190" s="238"/>
      <c r="C190" s="284"/>
      <c r="D190" s="353"/>
      <c r="E190" s="353"/>
      <c r="F190" s="353"/>
      <c r="G190" s="352">
        <v>2</v>
      </c>
      <c r="H190" s="284"/>
      <c r="I190" s="284"/>
      <c r="J190" s="353"/>
      <c r="K190" s="354"/>
      <c r="M190" s="253"/>
      <c r="N190" s="254" t="s">
        <v>41</v>
      </c>
      <c r="O190" s="255"/>
    </row>
    <row r="191" spans="1:15" x14ac:dyDescent="0.2">
      <c r="A191" s="237" t="s">
        <v>92</v>
      </c>
      <c r="B191" s="193"/>
      <c r="C191" s="262"/>
      <c r="D191" s="264"/>
      <c r="E191" s="264"/>
      <c r="F191" s="264"/>
      <c r="G191" s="352">
        <v>2</v>
      </c>
      <c r="H191" s="262"/>
      <c r="I191" s="262"/>
      <c r="J191" s="264"/>
      <c r="K191" s="283"/>
      <c r="M191" s="253"/>
      <c r="N191" s="254"/>
      <c r="O191" s="255"/>
    </row>
    <row r="192" spans="1:15" ht="38.25" x14ac:dyDescent="0.2">
      <c r="A192" s="213" t="s">
        <v>74</v>
      </c>
      <c r="B192" s="225" t="s">
        <v>1</v>
      </c>
      <c r="C192" s="310"/>
      <c r="D192" s="310"/>
      <c r="E192" s="310"/>
      <c r="F192" s="310"/>
      <c r="G192" s="350">
        <f>G193+G194</f>
        <v>2</v>
      </c>
      <c r="H192" s="310"/>
      <c r="I192" s="310"/>
      <c r="J192" s="310"/>
      <c r="K192" s="292"/>
      <c r="M192" s="246">
        <v>2</v>
      </c>
      <c r="N192" s="247">
        <f>M192-G192</f>
        <v>0</v>
      </c>
      <c r="O192" s="248">
        <f>N192/M192</f>
        <v>0</v>
      </c>
    </row>
    <row r="193" spans="1:15" x14ac:dyDescent="0.2">
      <c r="A193" s="192" t="s">
        <v>91</v>
      </c>
      <c r="B193" s="238"/>
      <c r="C193" s="284"/>
      <c r="D193" s="353"/>
      <c r="E193" s="353"/>
      <c r="F193" s="353"/>
      <c r="G193" s="352">
        <v>1</v>
      </c>
      <c r="H193" s="284"/>
      <c r="I193" s="284"/>
      <c r="J193" s="353"/>
      <c r="K193" s="354"/>
      <c r="M193" s="253"/>
      <c r="N193" s="254" t="s">
        <v>41</v>
      </c>
      <c r="O193" s="255"/>
    </row>
    <row r="194" spans="1:15" x14ac:dyDescent="0.2">
      <c r="A194" s="237" t="s">
        <v>92</v>
      </c>
      <c r="B194" s="193"/>
      <c r="C194" s="262"/>
      <c r="D194" s="264"/>
      <c r="E194" s="264"/>
      <c r="F194" s="264"/>
      <c r="G194" s="352">
        <v>1</v>
      </c>
      <c r="H194" s="262"/>
      <c r="I194" s="262"/>
      <c r="J194" s="264"/>
      <c r="K194" s="283"/>
      <c r="M194" s="253"/>
      <c r="N194" s="254"/>
      <c r="O194" s="255"/>
    </row>
    <row r="195" spans="1:15" ht="25.5" x14ac:dyDescent="0.2">
      <c r="A195" s="213" t="s">
        <v>75</v>
      </c>
      <c r="B195" s="225" t="s">
        <v>1</v>
      </c>
      <c r="C195" s="310"/>
      <c r="D195" s="310"/>
      <c r="E195" s="310"/>
      <c r="F195" s="310"/>
      <c r="G195" s="350">
        <f>G196+G197</f>
        <v>2</v>
      </c>
      <c r="H195" s="310"/>
      <c r="I195" s="310"/>
      <c r="J195" s="310"/>
      <c r="K195" s="292"/>
      <c r="M195" s="246">
        <v>2</v>
      </c>
      <c r="N195" s="247">
        <f>M195-G195</f>
        <v>0</v>
      </c>
      <c r="O195" s="248">
        <f>N195/M195</f>
        <v>0</v>
      </c>
    </row>
    <row r="196" spans="1:15" x14ac:dyDescent="0.2">
      <c r="A196" s="192" t="s">
        <v>91</v>
      </c>
      <c r="B196" s="193"/>
      <c r="C196" s="262"/>
      <c r="D196" s="264"/>
      <c r="E196" s="264"/>
      <c r="F196" s="264"/>
      <c r="G196" s="352">
        <v>1</v>
      </c>
      <c r="H196" s="262"/>
      <c r="I196" s="262"/>
      <c r="J196" s="264"/>
      <c r="K196" s="283"/>
      <c r="M196" s="253"/>
      <c r="N196" s="254" t="s">
        <v>41</v>
      </c>
      <c r="O196" s="255"/>
    </row>
    <row r="197" spans="1:15" x14ac:dyDescent="0.2">
      <c r="A197" s="237" t="s">
        <v>92</v>
      </c>
      <c r="B197" s="238"/>
      <c r="C197" s="284"/>
      <c r="D197" s="353"/>
      <c r="E197" s="353"/>
      <c r="F197" s="353"/>
      <c r="G197" s="352">
        <v>1</v>
      </c>
      <c r="H197" s="284"/>
      <c r="I197" s="284"/>
      <c r="J197" s="353"/>
      <c r="K197" s="354"/>
      <c r="M197" s="253"/>
      <c r="N197" s="254" t="s">
        <v>41</v>
      </c>
      <c r="O197" s="255"/>
    </row>
    <row r="198" spans="1:15" ht="32.25" customHeight="1" x14ac:dyDescent="0.2">
      <c r="A198" s="213" t="s">
        <v>76</v>
      </c>
      <c r="B198" s="225" t="s">
        <v>1</v>
      </c>
      <c r="C198" s="310"/>
      <c r="D198" s="310"/>
      <c r="E198" s="310"/>
      <c r="F198" s="310"/>
      <c r="G198" s="350">
        <f>G199+G200</f>
        <v>2</v>
      </c>
      <c r="H198" s="310"/>
      <c r="I198" s="310"/>
      <c r="J198" s="310"/>
      <c r="K198" s="292"/>
      <c r="M198" s="246">
        <v>2</v>
      </c>
      <c r="N198" s="247">
        <f>M198-G198</f>
        <v>0</v>
      </c>
      <c r="O198" s="248">
        <f>N198/M198</f>
        <v>0</v>
      </c>
    </row>
    <row r="199" spans="1:15" x14ac:dyDescent="0.2">
      <c r="A199" s="192" t="s">
        <v>91</v>
      </c>
      <c r="B199" s="193"/>
      <c r="C199" s="262"/>
      <c r="D199" s="264"/>
      <c r="E199" s="264"/>
      <c r="F199" s="264"/>
      <c r="G199" s="352">
        <v>1</v>
      </c>
      <c r="H199" s="262"/>
      <c r="I199" s="262"/>
      <c r="J199" s="264"/>
      <c r="K199" s="283"/>
      <c r="M199" s="253"/>
      <c r="N199" s="254" t="s">
        <v>41</v>
      </c>
      <c r="O199" s="255"/>
    </row>
    <row r="200" spans="1:15" ht="28.5" customHeight="1" x14ac:dyDescent="0.2">
      <c r="A200" s="237" t="s">
        <v>92</v>
      </c>
      <c r="B200" s="238"/>
      <c r="C200" s="284"/>
      <c r="D200" s="353"/>
      <c r="E200" s="353"/>
      <c r="F200" s="353"/>
      <c r="G200" s="352">
        <v>1</v>
      </c>
      <c r="H200" s="284"/>
      <c r="I200" s="284"/>
      <c r="J200" s="353"/>
      <c r="K200" s="354"/>
      <c r="M200" s="253"/>
      <c r="N200" s="254" t="s">
        <v>41</v>
      </c>
      <c r="O200" s="255"/>
    </row>
    <row r="201" spans="1:15" ht="25.5" x14ac:dyDescent="0.2">
      <c r="A201" s="213" t="s">
        <v>77</v>
      </c>
      <c r="B201" s="225" t="s">
        <v>1</v>
      </c>
      <c r="C201" s="310"/>
      <c r="D201" s="310"/>
      <c r="E201" s="310"/>
      <c r="F201" s="310"/>
      <c r="G201" s="350">
        <f>G202+G203</f>
        <v>2</v>
      </c>
      <c r="H201" s="310"/>
      <c r="I201" s="310"/>
      <c r="J201" s="310"/>
      <c r="K201" s="292"/>
      <c r="M201" s="246">
        <v>2</v>
      </c>
      <c r="N201" s="247">
        <f>M201-G201</f>
        <v>0</v>
      </c>
      <c r="O201" s="248">
        <f>N201/M201</f>
        <v>0</v>
      </c>
    </row>
    <row r="202" spans="1:15" x14ac:dyDescent="0.2">
      <c r="A202" s="192" t="s">
        <v>91</v>
      </c>
      <c r="B202" s="193"/>
      <c r="C202" s="262"/>
      <c r="D202" s="264"/>
      <c r="E202" s="264"/>
      <c r="F202" s="264"/>
      <c r="G202" s="352">
        <v>1</v>
      </c>
      <c r="H202" s="262"/>
      <c r="I202" s="262"/>
      <c r="J202" s="264"/>
      <c r="K202" s="283"/>
      <c r="M202" s="253"/>
      <c r="N202" s="254" t="s">
        <v>41</v>
      </c>
      <c r="O202" s="255"/>
    </row>
    <row r="203" spans="1:15" x14ac:dyDescent="0.2">
      <c r="A203" s="237" t="s">
        <v>92</v>
      </c>
      <c r="B203" s="238"/>
      <c r="C203" s="284"/>
      <c r="D203" s="353"/>
      <c r="E203" s="353"/>
      <c r="F203" s="353"/>
      <c r="G203" s="352">
        <v>1</v>
      </c>
      <c r="H203" s="284"/>
      <c r="I203" s="284"/>
      <c r="J203" s="353"/>
      <c r="K203" s="354"/>
      <c r="M203" s="253"/>
      <c r="N203" s="254" t="s">
        <v>41</v>
      </c>
      <c r="O203" s="255"/>
    </row>
    <row r="204" spans="1:15" ht="35.25" customHeight="1" x14ac:dyDescent="0.2">
      <c r="A204" s="213" t="s">
        <v>78</v>
      </c>
      <c r="B204" s="225" t="s">
        <v>1</v>
      </c>
      <c r="C204" s="310"/>
      <c r="D204" s="310"/>
      <c r="E204" s="310"/>
      <c r="F204" s="310"/>
      <c r="G204" s="350">
        <f>G205+G206</f>
        <v>2</v>
      </c>
      <c r="H204" s="310"/>
      <c r="I204" s="310"/>
      <c r="J204" s="310"/>
      <c r="K204" s="292"/>
      <c r="M204" s="246">
        <v>2</v>
      </c>
      <c r="N204" s="247">
        <f>M204-G204</f>
        <v>0</v>
      </c>
      <c r="O204" s="248">
        <f>N204/M204</f>
        <v>0</v>
      </c>
    </row>
    <row r="205" spans="1:15" x14ac:dyDescent="0.2">
      <c r="A205" s="192" t="s">
        <v>91</v>
      </c>
      <c r="B205" s="193"/>
      <c r="C205" s="262"/>
      <c r="D205" s="264"/>
      <c r="E205" s="264"/>
      <c r="F205" s="264"/>
      <c r="G205" s="352">
        <v>1</v>
      </c>
      <c r="H205" s="262"/>
      <c r="I205" s="262"/>
      <c r="J205" s="264"/>
      <c r="K205" s="283"/>
      <c r="M205" s="253"/>
      <c r="N205" s="254" t="s">
        <v>41</v>
      </c>
      <c r="O205" s="255"/>
    </row>
    <row r="206" spans="1:15" ht="29.1" customHeight="1" x14ac:dyDescent="0.2">
      <c r="A206" s="237" t="s">
        <v>92</v>
      </c>
      <c r="B206" s="238"/>
      <c r="C206" s="284"/>
      <c r="D206" s="353"/>
      <c r="E206" s="353"/>
      <c r="F206" s="353"/>
      <c r="G206" s="352">
        <v>1</v>
      </c>
      <c r="H206" s="284"/>
      <c r="I206" s="284"/>
      <c r="J206" s="353"/>
      <c r="K206" s="354"/>
      <c r="M206" s="253"/>
      <c r="N206" s="254" t="s">
        <v>41</v>
      </c>
      <c r="O206" s="255"/>
    </row>
    <row r="207" spans="1:15" ht="25.5" x14ac:dyDescent="0.2">
      <c r="A207" s="213" t="s">
        <v>79</v>
      </c>
      <c r="B207" s="225" t="s">
        <v>1</v>
      </c>
      <c r="C207" s="310"/>
      <c r="D207" s="310"/>
      <c r="E207" s="310"/>
      <c r="F207" s="310"/>
      <c r="G207" s="350">
        <f>G208+G209+G210</f>
        <v>2</v>
      </c>
      <c r="H207" s="310"/>
      <c r="I207" s="310"/>
      <c r="J207" s="310"/>
      <c r="K207" s="292"/>
      <c r="M207" s="246">
        <v>2</v>
      </c>
      <c r="N207" s="247">
        <f>M207-G207</f>
        <v>0</v>
      </c>
      <c r="O207" s="248">
        <f>N207/M207</f>
        <v>0</v>
      </c>
    </row>
    <row r="208" spans="1:15" x14ac:dyDescent="0.2">
      <c r="A208" s="239" t="s">
        <v>87</v>
      </c>
      <c r="B208" s="193"/>
      <c r="C208" s="262"/>
      <c r="D208" s="264"/>
      <c r="E208" s="264"/>
      <c r="F208" s="264"/>
      <c r="G208" s="355"/>
      <c r="H208" s="262"/>
      <c r="I208" s="262"/>
      <c r="J208" s="264"/>
      <c r="K208" s="283"/>
      <c r="M208" s="253"/>
      <c r="N208" s="254" t="s">
        <v>41</v>
      </c>
      <c r="O208" s="255"/>
    </row>
    <row r="209" spans="1:15" x14ac:dyDescent="0.2">
      <c r="A209" s="192" t="s">
        <v>91</v>
      </c>
      <c r="B209" s="238"/>
      <c r="C209" s="284"/>
      <c r="D209" s="353"/>
      <c r="E209" s="353"/>
      <c r="F209" s="353"/>
      <c r="G209" s="355">
        <v>1</v>
      </c>
      <c r="H209" s="284"/>
      <c r="I209" s="284"/>
      <c r="J209" s="353"/>
      <c r="K209" s="354"/>
      <c r="M209" s="253"/>
      <c r="N209" s="254" t="s">
        <v>41</v>
      </c>
      <c r="O209" s="255"/>
    </row>
    <row r="210" spans="1:15" ht="29.25" customHeight="1" x14ac:dyDescent="0.2">
      <c r="A210" s="237" t="s">
        <v>92</v>
      </c>
      <c r="B210" s="193"/>
      <c r="C210" s="262"/>
      <c r="D210" s="264"/>
      <c r="E210" s="264"/>
      <c r="F210" s="264"/>
      <c r="G210" s="355">
        <v>1</v>
      </c>
      <c r="H210" s="262"/>
      <c r="I210" s="262"/>
      <c r="J210" s="264"/>
      <c r="K210" s="283"/>
      <c r="M210" s="253"/>
      <c r="N210" s="254"/>
      <c r="O210" s="255"/>
    </row>
    <row r="211" spans="1:15" x14ac:dyDescent="0.2">
      <c r="A211" s="213" t="s">
        <v>80</v>
      </c>
      <c r="B211" s="225" t="s">
        <v>1</v>
      </c>
      <c r="C211" s="310"/>
      <c r="D211" s="310"/>
      <c r="E211" s="310"/>
      <c r="F211" s="310"/>
      <c r="G211" s="350">
        <f>G212+G213</f>
        <v>2</v>
      </c>
      <c r="H211" s="310"/>
      <c r="I211" s="310"/>
      <c r="J211" s="310"/>
      <c r="K211" s="292"/>
      <c r="M211" s="246">
        <v>2</v>
      </c>
      <c r="N211" s="247">
        <f>M211-G211</f>
        <v>0</v>
      </c>
      <c r="O211" s="248">
        <f>N211/M211</f>
        <v>0</v>
      </c>
    </row>
    <row r="212" spans="1:15" x14ac:dyDescent="0.2">
      <c r="A212" s="237" t="s">
        <v>91</v>
      </c>
      <c r="B212" s="238"/>
      <c r="C212" s="284"/>
      <c r="D212" s="353"/>
      <c r="E212" s="353"/>
      <c r="F212" s="353"/>
      <c r="G212" s="352">
        <v>1</v>
      </c>
      <c r="H212" s="284"/>
      <c r="I212" s="284"/>
      <c r="J212" s="353"/>
      <c r="K212" s="354"/>
      <c r="M212" s="253"/>
      <c r="N212" s="254" t="s">
        <v>41</v>
      </c>
      <c r="O212" s="255"/>
    </row>
    <row r="213" spans="1:15" ht="13.5" thickBot="1" x14ac:dyDescent="0.25">
      <c r="A213" s="235" t="s">
        <v>92</v>
      </c>
      <c r="B213" s="236"/>
      <c r="C213" s="321"/>
      <c r="D213" s="320"/>
      <c r="E213" s="320"/>
      <c r="F213" s="320"/>
      <c r="G213" s="356">
        <v>1</v>
      </c>
      <c r="H213" s="321"/>
      <c r="I213" s="321"/>
      <c r="J213" s="320"/>
      <c r="K213" s="324"/>
      <c r="M213" s="325"/>
      <c r="N213" s="326"/>
      <c r="O213" s="327"/>
    </row>
  </sheetData>
  <mergeCells count="1">
    <mergeCell ref="N2:O2"/>
  </mergeCells>
  <conditionalFormatting sqref="N10:O10 N16:O16 N27:O27 N37:O37 N55:O55 N61:O62 N108:O108 N117:O117 N138:O138 N156:O156 N146:O146 N144:O144 N166:O166 N171:O171 N174:O174 N177:O177 N180:O180 N183:O183 N186:O186 N198:O198 N195:O195 N192:O192 N207:O207 N204:O204 N201:O201 N161:O161 N79:O79 N133:O133 N18:O18 N189:O189 M19:O24 M26:O26">
    <cfRule type="cellIs" dxfId="36" priority="130" operator="equal">
      <formula>0</formula>
    </cfRule>
  </conditionalFormatting>
  <conditionalFormatting sqref="N12:O12">
    <cfRule type="cellIs" dxfId="35" priority="129" operator="equal">
      <formula>0</formula>
    </cfRule>
  </conditionalFormatting>
  <conditionalFormatting sqref="N6:O6">
    <cfRule type="cellIs" dxfId="34" priority="128" operator="equal">
      <formula>0</formula>
    </cfRule>
  </conditionalFormatting>
  <conditionalFormatting sqref="N3:O3">
    <cfRule type="cellIs" dxfId="33" priority="127" operator="equal">
      <formula>0</formula>
    </cfRule>
  </conditionalFormatting>
  <conditionalFormatting sqref="N29:O29">
    <cfRule type="cellIs" dxfId="32" priority="58" operator="equal">
      <formula>0</formula>
    </cfRule>
  </conditionalFormatting>
  <conditionalFormatting sqref="N211:O211">
    <cfRule type="cellIs" dxfId="31" priority="57" operator="equal">
      <formula>0</formula>
    </cfRule>
  </conditionalFormatting>
  <conditionalFormatting sqref="N103:O103">
    <cfRule type="cellIs" dxfId="30" priority="34" operator="equal">
      <formula>0</formula>
    </cfRule>
  </conditionalFormatting>
  <conditionalFormatting sqref="N150:O150">
    <cfRule type="cellIs" dxfId="29" priority="20" operator="equal">
      <formula>0</formula>
    </cfRule>
  </conditionalFormatting>
  <conditionalFormatting sqref="N58:O58">
    <cfRule type="cellIs" dxfId="28" priority="22" operator="equal">
      <formula>0</formula>
    </cfRule>
  </conditionalFormatting>
  <conditionalFormatting sqref="M17:O17">
    <cfRule type="cellIs" dxfId="27" priority="18" operator="equal">
      <formula>0</formula>
    </cfRule>
  </conditionalFormatting>
  <conditionalFormatting sqref="N38">
    <cfRule type="cellIs" dxfId="26" priority="14" operator="equal">
      <formula>0</formula>
    </cfRule>
  </conditionalFormatting>
  <conditionalFormatting sqref="M13:O15">
    <cfRule type="cellIs" dxfId="25" priority="19" operator="equal">
      <formula>0</formula>
    </cfRule>
  </conditionalFormatting>
  <conditionalFormatting sqref="O30">
    <cfRule type="cellIs" dxfId="24" priority="11" operator="equal">
      <formula>0</formula>
    </cfRule>
  </conditionalFormatting>
  <conditionalFormatting sqref="N52:O52">
    <cfRule type="cellIs" dxfId="23" priority="16" operator="equal">
      <formula>0</formula>
    </cfRule>
  </conditionalFormatting>
  <conditionalFormatting sqref="O38">
    <cfRule type="cellIs" dxfId="22" priority="15" operator="equal">
      <formula>0</formula>
    </cfRule>
  </conditionalFormatting>
  <conditionalFormatting sqref="O33">
    <cfRule type="cellIs" dxfId="21" priority="7" operator="equal">
      <formula>0</formula>
    </cfRule>
  </conditionalFormatting>
  <conditionalFormatting sqref="N33">
    <cfRule type="cellIs" dxfId="20" priority="6" operator="equal">
      <formula>0</formula>
    </cfRule>
  </conditionalFormatting>
  <conditionalFormatting sqref="N30">
    <cfRule type="cellIs" dxfId="19" priority="10" operator="equal">
      <formula>0</formula>
    </cfRule>
  </conditionalFormatting>
  <conditionalFormatting sqref="M25:O25">
    <cfRule type="cellIs" dxfId="18" priority="5" operator="equal">
      <formula>0</formula>
    </cfRule>
  </conditionalFormatting>
  <conditionalFormatting sqref="N72:O72">
    <cfRule type="cellIs" dxfId="17" priority="4" operator="equal">
      <formula>0</formula>
    </cfRule>
  </conditionalFormatting>
  <conditionalFormatting sqref="N65:O65">
    <cfRule type="cellIs" dxfId="16" priority="3" operator="equal">
      <formula>0</formula>
    </cfRule>
  </conditionalFormatting>
  <conditionalFormatting sqref="N68:O68">
    <cfRule type="cellIs" dxfId="15" priority="1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showGridLines="0" workbookViewId="0">
      <selection activeCell="N9" sqref="N9"/>
    </sheetView>
  </sheetViews>
  <sheetFormatPr defaultRowHeight="15" x14ac:dyDescent="0.25"/>
  <cols>
    <col min="1" max="1" width="20.42578125" bestFit="1" customWidth="1"/>
    <col min="2" max="2" width="3.140625" bestFit="1" customWidth="1"/>
    <col min="3" max="3" width="5.7109375" bestFit="1" customWidth="1"/>
    <col min="4" max="5" width="5.5703125" bestFit="1" customWidth="1"/>
    <col min="6" max="6" width="5.7109375" bestFit="1" customWidth="1"/>
    <col min="7" max="8" width="6.28515625" bestFit="1" customWidth="1"/>
    <col min="9" max="9" width="16.5703125" bestFit="1" customWidth="1"/>
  </cols>
  <sheetData>
    <row r="1" spans="1:9" ht="15.75" thickBot="1" x14ac:dyDescent="0.3">
      <c r="A1" s="133" t="s">
        <v>208</v>
      </c>
      <c r="B1" s="6"/>
      <c r="C1" s="132" t="s">
        <v>2</v>
      </c>
      <c r="D1" s="132" t="s">
        <v>3</v>
      </c>
      <c r="E1" s="7" t="s">
        <v>5</v>
      </c>
      <c r="F1" s="132" t="s">
        <v>6</v>
      </c>
      <c r="G1" s="132" t="s">
        <v>7</v>
      </c>
      <c r="H1" s="132" t="s">
        <v>8</v>
      </c>
      <c r="I1" s="8" t="s">
        <v>9</v>
      </c>
    </row>
    <row r="2" spans="1:9" x14ac:dyDescent="0.25">
      <c r="A2" s="148" t="s">
        <v>209</v>
      </c>
      <c r="B2" s="149" t="s">
        <v>10</v>
      </c>
      <c r="C2" s="150"/>
      <c r="D2" s="151"/>
      <c r="E2" s="152"/>
      <c r="F2" s="151"/>
      <c r="G2" s="153">
        <f>SUM(G3:G4)</f>
        <v>9.4483999999999995</v>
      </c>
      <c r="H2" s="151"/>
      <c r="I2" s="154"/>
    </row>
    <row r="3" spans="1:9" x14ac:dyDescent="0.25">
      <c r="A3" s="13" t="s">
        <v>179</v>
      </c>
      <c r="B3" s="1"/>
      <c r="C3" s="2">
        <v>2.99</v>
      </c>
      <c r="D3" s="4">
        <v>1.59</v>
      </c>
      <c r="E3" s="3"/>
      <c r="F3" s="2"/>
      <c r="G3" s="2">
        <f>D3*C3</f>
        <v>4.7541000000000002</v>
      </c>
      <c r="H3" s="4"/>
      <c r="I3" s="14"/>
    </row>
    <row r="4" spans="1:9" x14ac:dyDescent="0.25">
      <c r="A4" s="141" t="s">
        <v>178</v>
      </c>
      <c r="B4" s="142"/>
      <c r="C4" s="143">
        <v>2.99</v>
      </c>
      <c r="D4" s="144">
        <v>1.57</v>
      </c>
      <c r="E4" s="145"/>
      <c r="F4" s="143"/>
      <c r="G4" s="143">
        <f>D4*C4</f>
        <v>4.6943000000000001</v>
      </c>
      <c r="H4" s="144"/>
      <c r="I4" s="146"/>
    </row>
    <row r="5" spans="1:9" x14ac:dyDescent="0.25">
      <c r="A5" s="9" t="s">
        <v>210</v>
      </c>
      <c r="B5" s="155" t="s">
        <v>10</v>
      </c>
      <c r="C5" s="156"/>
      <c r="D5" s="10"/>
      <c r="E5" s="11"/>
      <c r="F5" s="10"/>
      <c r="G5" s="12">
        <f>SUM(G6:G7)</f>
        <v>9.4483999999999995</v>
      </c>
      <c r="H5" s="10"/>
      <c r="I5" s="157"/>
    </row>
    <row r="6" spans="1:9" x14ac:dyDescent="0.25">
      <c r="A6" s="13" t="s">
        <v>179</v>
      </c>
      <c r="B6" s="1"/>
      <c r="C6" s="2">
        <v>2.99</v>
      </c>
      <c r="D6" s="4">
        <v>1.59</v>
      </c>
      <c r="E6" s="3"/>
      <c r="F6" s="2"/>
      <c r="G6" s="2">
        <f>D6*C6</f>
        <v>4.7541000000000002</v>
      </c>
      <c r="H6" s="4"/>
      <c r="I6" s="14"/>
    </row>
    <row r="7" spans="1:9" x14ac:dyDescent="0.25">
      <c r="A7" s="141" t="s">
        <v>178</v>
      </c>
      <c r="B7" s="142"/>
      <c r="C7" s="143">
        <v>2.99</v>
      </c>
      <c r="D7" s="144">
        <v>1.57</v>
      </c>
      <c r="E7" s="145"/>
      <c r="F7" s="147"/>
      <c r="G7" s="147">
        <f>D7*C7</f>
        <v>4.6943000000000001</v>
      </c>
      <c r="H7" s="144"/>
      <c r="I7" s="146"/>
    </row>
    <row r="8" spans="1:9" x14ac:dyDescent="0.25">
      <c r="A8" s="9" t="s">
        <v>211</v>
      </c>
      <c r="B8" s="155" t="s">
        <v>10</v>
      </c>
      <c r="C8" s="156"/>
      <c r="D8" s="10"/>
      <c r="E8" s="11"/>
      <c r="F8" s="10"/>
      <c r="G8" s="12">
        <f>SUM(G9:G10)</f>
        <v>9.4483999999999995</v>
      </c>
      <c r="H8" s="10"/>
      <c r="I8" s="157"/>
    </row>
    <row r="9" spans="1:9" x14ac:dyDescent="0.25">
      <c r="A9" s="13" t="s">
        <v>179</v>
      </c>
      <c r="B9" s="1"/>
      <c r="C9" s="2">
        <v>2.99</v>
      </c>
      <c r="D9" s="4">
        <v>1.59</v>
      </c>
      <c r="E9" s="3"/>
      <c r="F9" s="2"/>
      <c r="G9" s="2">
        <f>D9*C9</f>
        <v>4.7541000000000002</v>
      </c>
      <c r="H9" s="4"/>
      <c r="I9" s="14"/>
    </row>
    <row r="10" spans="1:9" ht="15.75" thickBot="1" x14ac:dyDescent="0.3">
      <c r="A10" s="134" t="s">
        <v>178</v>
      </c>
      <c r="B10" s="135"/>
      <c r="C10" s="136">
        <v>2.99</v>
      </c>
      <c r="D10" s="137">
        <v>1.57</v>
      </c>
      <c r="E10" s="138"/>
      <c r="F10" s="139"/>
      <c r="G10" s="139">
        <f>D10*C10</f>
        <v>4.6943000000000001</v>
      </c>
      <c r="H10" s="137"/>
      <c r="I10" s="140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7"/>
  <sheetViews>
    <sheetView showGridLines="0" workbookViewId="0">
      <selection activeCell="Q29" sqref="Q29"/>
    </sheetView>
  </sheetViews>
  <sheetFormatPr defaultRowHeight="15" x14ac:dyDescent="0.25"/>
  <cols>
    <col min="1" max="1" width="7.5703125" style="15" customWidth="1"/>
    <col min="2" max="2" width="33.140625" style="32" customWidth="1"/>
    <col min="3" max="3" width="9.28515625" bestFit="1" customWidth="1"/>
    <col min="4" max="4" width="5.28515625" customWidth="1"/>
    <col min="5" max="5" width="6.140625" customWidth="1"/>
    <col min="6" max="6" width="5.42578125" bestFit="1" customWidth="1"/>
    <col min="7" max="7" width="5.5703125" customWidth="1"/>
    <col min="8" max="8" width="1.42578125" customWidth="1"/>
    <col min="9" max="9" width="9.140625" bestFit="1" customWidth="1"/>
    <col min="10" max="10" width="4.5703125" customWidth="1"/>
    <col min="11" max="11" width="6.85546875" bestFit="1" customWidth="1"/>
    <col min="12" max="12" width="5.5703125" bestFit="1" customWidth="1"/>
    <col min="13" max="13" width="38.28515625" bestFit="1" customWidth="1"/>
    <col min="14" max="14" width="4.5703125" bestFit="1" customWidth="1"/>
    <col min="15" max="15" width="9.42578125" bestFit="1" customWidth="1"/>
    <col min="16" max="22" width="6.5703125" bestFit="1" customWidth="1"/>
    <col min="23" max="23" width="5.5703125" bestFit="1" customWidth="1"/>
    <col min="24" max="24" width="5.42578125" bestFit="1" customWidth="1"/>
  </cols>
  <sheetData>
    <row r="1" spans="1:23" ht="15.75" thickBot="1" x14ac:dyDescent="0.3">
      <c r="B1" s="5"/>
    </row>
    <row r="2" spans="1:23" ht="15.75" thickBot="1" x14ac:dyDescent="0.3">
      <c r="A2" s="16" t="s">
        <v>120</v>
      </c>
      <c r="B2" s="17"/>
      <c r="C2" s="18"/>
      <c r="D2" s="19"/>
      <c r="E2" s="20" t="s">
        <v>121</v>
      </c>
      <c r="F2" s="21" t="s">
        <v>122</v>
      </c>
      <c r="G2" s="22" t="s">
        <v>123</v>
      </c>
      <c r="L2" s="506" t="s">
        <v>124</v>
      </c>
      <c r="M2" s="507"/>
      <c r="O2" s="165" t="s">
        <v>220</v>
      </c>
      <c r="P2" s="18"/>
      <c r="Q2" s="18"/>
      <c r="R2" s="18"/>
      <c r="S2" s="18"/>
      <c r="T2" s="18"/>
      <c r="U2" s="18"/>
      <c r="V2" s="161"/>
      <c r="W2" s="68" t="s">
        <v>123</v>
      </c>
    </row>
    <row r="3" spans="1:23" ht="15.75" thickBot="1" x14ac:dyDescent="0.3">
      <c r="A3" s="23"/>
      <c r="B3" s="24" t="s">
        <v>125</v>
      </c>
      <c r="C3" s="25" t="s">
        <v>253</v>
      </c>
      <c r="D3" s="26" t="s">
        <v>126</v>
      </c>
      <c r="E3" s="27">
        <f>E17*(1+L3)</f>
        <v>8.6030999999999995</v>
      </c>
      <c r="F3" s="28">
        <f>F17*(1+L3)</f>
        <v>8.6499600000000019</v>
      </c>
      <c r="G3" s="29">
        <f>E3+F3</f>
        <v>17.253060000000001</v>
      </c>
      <c r="L3" s="30" t="s">
        <v>127</v>
      </c>
      <c r="M3" s="31" t="s">
        <v>128</v>
      </c>
      <c r="O3" s="176" t="s">
        <v>196</v>
      </c>
      <c r="P3" s="177" t="s">
        <v>126</v>
      </c>
      <c r="Q3" s="178"/>
      <c r="R3" s="179"/>
      <c r="S3" s="179"/>
      <c r="T3" s="179"/>
      <c r="U3" s="179"/>
      <c r="V3" s="75"/>
      <c r="W3" s="75">
        <f>SUM(P4:V13)</f>
        <v>15.684600000000001</v>
      </c>
    </row>
    <row r="4" spans="1:23" ht="15.75" thickBot="1" x14ac:dyDescent="0.3">
      <c r="B4" s="5"/>
      <c r="O4" s="169" t="s">
        <v>218</v>
      </c>
      <c r="P4" s="170"/>
      <c r="Q4" s="170"/>
      <c r="R4" s="170"/>
      <c r="S4" s="170"/>
      <c r="T4" s="170"/>
      <c r="U4" s="170"/>
      <c r="V4" s="171"/>
      <c r="W4" s="172"/>
    </row>
    <row r="5" spans="1:23" ht="15.75" thickBot="1" x14ac:dyDescent="0.3">
      <c r="A5" s="16" t="s">
        <v>129</v>
      </c>
      <c r="B5" s="17"/>
      <c r="C5" s="18"/>
      <c r="D5" s="19"/>
      <c r="E5" s="20" t="s">
        <v>121</v>
      </c>
      <c r="F5" s="21" t="s">
        <v>122</v>
      </c>
      <c r="G5" s="22" t="s">
        <v>123</v>
      </c>
      <c r="L5" s="506" t="s">
        <v>124</v>
      </c>
      <c r="M5" s="507"/>
      <c r="O5" s="160"/>
      <c r="P5" s="159">
        <v>1.0963000000000001</v>
      </c>
      <c r="Q5" s="159">
        <v>0.19409999999999999</v>
      </c>
      <c r="R5" s="159">
        <v>1.1655</v>
      </c>
      <c r="S5" s="159">
        <v>1.2591000000000001</v>
      </c>
      <c r="T5" s="159">
        <v>0.17100000000000001</v>
      </c>
      <c r="U5" s="159">
        <v>6.9199999999999998E-2</v>
      </c>
      <c r="V5" s="162">
        <v>0.2346</v>
      </c>
      <c r="W5" s="173"/>
    </row>
    <row r="6" spans="1:23" ht="15.75" thickBot="1" x14ac:dyDescent="0.3">
      <c r="A6" s="23"/>
      <c r="B6" s="24"/>
      <c r="C6" s="25" t="s">
        <v>253</v>
      </c>
      <c r="D6" s="26" t="s">
        <v>126</v>
      </c>
      <c r="E6" s="27">
        <f>E17*(1+L6)</f>
        <v>8.6030999999999995</v>
      </c>
      <c r="F6" s="28">
        <f>F17*(1+L6)</f>
        <v>8.6499600000000019</v>
      </c>
      <c r="G6" s="29">
        <f>E6+F6</f>
        <v>17.253060000000001</v>
      </c>
      <c r="L6" s="30" t="s">
        <v>127</v>
      </c>
      <c r="M6" s="31" t="s">
        <v>128</v>
      </c>
      <c r="O6" s="160"/>
      <c r="P6" s="159"/>
      <c r="Q6" s="159"/>
      <c r="R6" s="159"/>
      <c r="S6" s="159">
        <v>7.0199999999999999E-2</v>
      </c>
      <c r="T6" s="159"/>
      <c r="U6" s="159"/>
      <c r="V6" s="162"/>
      <c r="W6" s="173"/>
    </row>
    <row r="7" spans="1:23" ht="15.75" thickBot="1" x14ac:dyDescent="0.3">
      <c r="O7" s="160"/>
      <c r="P7" s="159"/>
      <c r="Q7" s="159"/>
      <c r="R7" s="159">
        <v>0.81759999999999999</v>
      </c>
      <c r="S7" s="159">
        <v>1.5884</v>
      </c>
      <c r="T7" s="159">
        <v>0.67220000000000002</v>
      </c>
      <c r="U7" s="159">
        <v>0.1187</v>
      </c>
      <c r="V7" s="162">
        <v>0.1188</v>
      </c>
      <c r="W7" s="173"/>
    </row>
    <row r="8" spans="1:23" ht="15.75" thickBot="1" x14ac:dyDescent="0.3">
      <c r="A8" s="16" t="s">
        <v>130</v>
      </c>
      <c r="B8" s="17"/>
      <c r="C8" s="18"/>
      <c r="D8" s="19"/>
      <c r="E8" s="21" t="s">
        <v>121</v>
      </c>
      <c r="F8" s="21" t="s">
        <v>122</v>
      </c>
      <c r="G8" s="22" t="s">
        <v>123</v>
      </c>
      <c r="I8" s="33" t="s">
        <v>36</v>
      </c>
      <c r="J8" s="508" t="s">
        <v>131</v>
      </c>
      <c r="K8" s="509"/>
      <c r="M8" s="34" t="s">
        <v>124</v>
      </c>
      <c r="O8" s="166"/>
      <c r="P8" s="167"/>
      <c r="Q8" s="167"/>
      <c r="R8" s="167"/>
      <c r="S8" s="167"/>
      <c r="T8" s="167"/>
      <c r="U8" s="167">
        <v>0.126</v>
      </c>
      <c r="V8" s="168">
        <v>0.1193</v>
      </c>
      <c r="W8" s="174"/>
    </row>
    <row r="9" spans="1:23" x14ac:dyDescent="0.25">
      <c r="A9" s="35" t="s">
        <v>132</v>
      </c>
      <c r="B9" s="36" t="s">
        <v>213</v>
      </c>
      <c r="C9" s="37" t="s">
        <v>133</v>
      </c>
      <c r="D9" s="38" t="s">
        <v>1</v>
      </c>
      <c r="E9" s="39">
        <v>2</v>
      </c>
      <c r="F9" s="39">
        <v>2</v>
      </c>
      <c r="G9" s="40">
        <f>SUM(E9:F9)</f>
        <v>4</v>
      </c>
      <c r="I9" s="41">
        <f>2+2</f>
        <v>4</v>
      </c>
      <c r="J9" s="39">
        <f>I9-G9</f>
        <v>0</v>
      </c>
      <c r="K9" s="42">
        <f>J9/I9</f>
        <v>0</v>
      </c>
      <c r="M9" s="43" t="s">
        <v>134</v>
      </c>
      <c r="O9" s="169" t="s">
        <v>219</v>
      </c>
      <c r="P9" s="170"/>
      <c r="Q9" s="170"/>
      <c r="R9" s="170"/>
      <c r="S9" s="170"/>
      <c r="T9" s="170"/>
      <c r="U9" s="170"/>
      <c r="V9" s="171"/>
      <c r="W9" s="172"/>
    </row>
    <row r="10" spans="1:23" x14ac:dyDescent="0.25">
      <c r="A10" s="44" t="s">
        <v>135</v>
      </c>
      <c r="B10" s="45" t="s">
        <v>212</v>
      </c>
      <c r="C10" s="46" t="s">
        <v>217</v>
      </c>
      <c r="D10" s="47" t="s">
        <v>1</v>
      </c>
      <c r="E10" s="48">
        <f>2+2</f>
        <v>4</v>
      </c>
      <c r="F10" s="48">
        <f>2+2</f>
        <v>4</v>
      </c>
      <c r="G10" s="49">
        <f t="shared" ref="G10" si="0">SUM(E10:F10)</f>
        <v>8</v>
      </c>
      <c r="I10" s="50">
        <v>8</v>
      </c>
      <c r="J10" s="48">
        <f t="shared" ref="J10" si="1">I10-G10</f>
        <v>0</v>
      </c>
      <c r="K10" s="51">
        <f t="shared" ref="K10" si="2">J10/I10</f>
        <v>0</v>
      </c>
      <c r="M10" s="43"/>
      <c r="O10" s="158"/>
      <c r="P10" s="159">
        <v>1.1537999999999999</v>
      </c>
      <c r="Q10" s="159">
        <v>0.19439999999999999</v>
      </c>
      <c r="R10" s="159">
        <v>1.155</v>
      </c>
      <c r="S10" s="159">
        <v>1.2582</v>
      </c>
      <c r="T10" s="159">
        <v>0.16189999999999999</v>
      </c>
      <c r="U10" s="159">
        <v>6.9199999999999998E-2</v>
      </c>
      <c r="V10" s="162">
        <v>0.2346</v>
      </c>
      <c r="W10" s="173"/>
    </row>
    <row r="11" spans="1:23" x14ac:dyDescent="0.25">
      <c r="A11" s="35" t="s">
        <v>136</v>
      </c>
      <c r="B11" s="36" t="s">
        <v>214</v>
      </c>
      <c r="C11" s="37">
        <v>25</v>
      </c>
      <c r="D11" s="38" t="s">
        <v>1</v>
      </c>
      <c r="E11" s="39">
        <f>4+2</f>
        <v>6</v>
      </c>
      <c r="F11" s="39">
        <f>4+2</f>
        <v>6</v>
      </c>
      <c r="G11" s="40">
        <f t="shared" ref="G11:G12" si="3">SUM(E11:F11)</f>
        <v>12</v>
      </c>
      <c r="I11" s="41">
        <v>12</v>
      </c>
      <c r="J11" s="39">
        <f t="shared" ref="J11:J13" si="4">I11-G11</f>
        <v>0</v>
      </c>
      <c r="K11" s="42">
        <f t="shared" ref="K11:K13" si="5">J11/I11</f>
        <v>0</v>
      </c>
      <c r="M11" s="43"/>
      <c r="O11" s="158"/>
      <c r="P11" s="159"/>
      <c r="Q11" s="159"/>
      <c r="R11" s="159"/>
      <c r="S11" s="159"/>
      <c r="T11" s="159">
        <v>6.5500000000000003E-2</v>
      </c>
      <c r="U11" s="159"/>
      <c r="V11" s="162"/>
      <c r="W11" s="173"/>
    </row>
    <row r="12" spans="1:23" x14ac:dyDescent="0.25">
      <c r="A12" s="44" t="s">
        <v>137</v>
      </c>
      <c r="B12" s="45" t="s">
        <v>215</v>
      </c>
      <c r="C12" s="46">
        <v>25</v>
      </c>
      <c r="D12" s="47" t="s">
        <v>1</v>
      </c>
      <c r="E12" s="48">
        <v>1</v>
      </c>
      <c r="F12" s="48">
        <v>1</v>
      </c>
      <c r="G12" s="49">
        <f t="shared" si="3"/>
        <v>2</v>
      </c>
      <c r="I12" s="50">
        <v>2</v>
      </c>
      <c r="J12" s="48">
        <f t="shared" si="4"/>
        <v>0</v>
      </c>
      <c r="K12" s="51">
        <f t="shared" si="5"/>
        <v>0</v>
      </c>
      <c r="M12" s="43"/>
      <c r="O12" s="158"/>
      <c r="P12" s="159"/>
      <c r="Q12" s="159"/>
      <c r="R12" s="159">
        <v>0.81759999999999999</v>
      </c>
      <c r="S12" s="159">
        <v>1.6084000000000001</v>
      </c>
      <c r="T12" s="159">
        <v>0.66220000000000001</v>
      </c>
      <c r="U12" s="159">
        <v>0.1187</v>
      </c>
      <c r="V12" s="162">
        <v>0.1188</v>
      </c>
      <c r="W12" s="173"/>
    </row>
    <row r="13" spans="1:23" ht="15.75" thickBot="1" x14ac:dyDescent="0.3">
      <c r="A13" s="35" t="s">
        <v>138</v>
      </c>
      <c r="B13" s="36" t="s">
        <v>216</v>
      </c>
      <c r="C13" s="37">
        <v>25</v>
      </c>
      <c r="D13" s="38" t="s">
        <v>1</v>
      </c>
      <c r="E13" s="39">
        <f>2+1</f>
        <v>3</v>
      </c>
      <c r="F13" s="39">
        <f>2+1</f>
        <v>3</v>
      </c>
      <c r="G13" s="40">
        <f t="shared" ref="G13" si="6">SUM(E13:F13)</f>
        <v>6</v>
      </c>
      <c r="I13" s="41">
        <v>6</v>
      </c>
      <c r="J13" s="39">
        <f t="shared" si="4"/>
        <v>0</v>
      </c>
      <c r="K13" s="42">
        <f t="shared" si="5"/>
        <v>0</v>
      </c>
      <c r="M13" s="43"/>
      <c r="O13" s="163"/>
      <c r="P13" s="164"/>
      <c r="Q13" s="61"/>
      <c r="R13" s="61"/>
      <c r="S13" s="61"/>
      <c r="T13" s="61"/>
      <c r="U13" s="180">
        <v>0.126</v>
      </c>
      <c r="V13" s="181">
        <v>0.1193</v>
      </c>
      <c r="W13" s="175"/>
    </row>
    <row r="14" spans="1:23" ht="15.75" thickBot="1" x14ac:dyDescent="0.3">
      <c r="A14" s="16" t="s">
        <v>139</v>
      </c>
      <c r="B14" s="18"/>
      <c r="C14" s="18"/>
      <c r="D14" s="19"/>
      <c r="E14" s="21" t="s">
        <v>121</v>
      </c>
      <c r="F14" s="21" t="s">
        <v>122</v>
      </c>
      <c r="G14" s="22" t="s">
        <v>123</v>
      </c>
      <c r="I14" s="33" t="s">
        <v>36</v>
      </c>
      <c r="J14" s="508" t="s">
        <v>131</v>
      </c>
      <c r="K14" s="509"/>
      <c r="M14" s="34" t="s">
        <v>124</v>
      </c>
    </row>
    <row r="15" spans="1:23" ht="15.75" thickBot="1" x14ac:dyDescent="0.3">
      <c r="A15" s="35" t="s">
        <v>140</v>
      </c>
      <c r="B15" s="36" t="s">
        <v>141</v>
      </c>
      <c r="C15" s="37" t="s">
        <v>142</v>
      </c>
      <c r="D15" s="38" t="s">
        <v>1</v>
      </c>
      <c r="E15" s="39">
        <v>1</v>
      </c>
      <c r="F15" s="39">
        <v>1</v>
      </c>
      <c r="G15" s="40">
        <f>SUM(E15:F15)</f>
        <v>2</v>
      </c>
      <c r="I15" s="41">
        <v>2</v>
      </c>
      <c r="J15" s="39">
        <f>I15-G15</f>
        <v>0</v>
      </c>
      <c r="K15" s="42">
        <f>J15/I15</f>
        <v>0</v>
      </c>
      <c r="M15" s="43"/>
    </row>
    <row r="16" spans="1:23" ht="15.75" thickBot="1" x14ac:dyDescent="0.3">
      <c r="A16" s="16" t="s">
        <v>143</v>
      </c>
      <c r="B16" s="17"/>
      <c r="C16" s="18"/>
      <c r="D16" s="19"/>
      <c r="E16" s="21" t="s">
        <v>121</v>
      </c>
      <c r="F16" s="21" t="s">
        <v>122</v>
      </c>
      <c r="G16" s="22" t="s">
        <v>123</v>
      </c>
      <c r="I16" s="33" t="s">
        <v>36</v>
      </c>
      <c r="J16" s="508" t="s">
        <v>131</v>
      </c>
      <c r="K16" s="509"/>
      <c r="M16" s="34" t="s">
        <v>124</v>
      </c>
    </row>
    <row r="17" spans="1:13" ht="15.75" thickBot="1" x14ac:dyDescent="0.3">
      <c r="A17" s="23"/>
      <c r="B17" s="24" t="s">
        <v>125</v>
      </c>
      <c r="C17" s="25">
        <v>25</v>
      </c>
      <c r="D17" s="26" t="s">
        <v>126</v>
      </c>
      <c r="E17" s="28">
        <f>SUM(P4:V8)</f>
        <v>7.8209999999999997</v>
      </c>
      <c r="F17" s="28">
        <f>SUM(P9:V13)</f>
        <v>7.8636000000000008</v>
      </c>
      <c r="G17" s="29">
        <f>SUM(E17:F17)</f>
        <v>15.6846</v>
      </c>
      <c r="I17" s="52">
        <v>15.68</v>
      </c>
      <c r="J17" s="28">
        <f>I17-G17</f>
        <v>-4.5999999999999375E-3</v>
      </c>
      <c r="K17" s="53">
        <f>J17/I17</f>
        <v>-2.9336734693877155E-4</v>
      </c>
      <c r="M17" s="54"/>
    </row>
    <row r="18" spans="1:13" x14ac:dyDescent="0.25">
      <c r="A18"/>
      <c r="B18"/>
    </row>
    <row r="19" spans="1:13" x14ac:dyDescent="0.25">
      <c r="A19"/>
      <c r="B19"/>
    </row>
    <row r="20" spans="1:13" x14ac:dyDescent="0.25">
      <c r="A20"/>
      <c r="B20"/>
    </row>
    <row r="21" spans="1:13" x14ac:dyDescent="0.25">
      <c r="A21"/>
      <c r="B21"/>
    </row>
    <row r="22" spans="1:13" x14ac:dyDescent="0.25">
      <c r="A22"/>
    </row>
    <row r="28" spans="1:13" x14ac:dyDescent="0.25">
      <c r="A28"/>
    </row>
    <row r="29" spans="1:13" x14ac:dyDescent="0.25">
      <c r="A29"/>
    </row>
    <row r="30" spans="1:13" x14ac:dyDescent="0.25">
      <c r="A30"/>
    </row>
    <row r="31" spans="1:13" x14ac:dyDescent="0.25">
      <c r="A31"/>
    </row>
    <row r="32" spans="1:13" x14ac:dyDescent="0.25">
      <c r="A32"/>
    </row>
    <row r="33" spans="1:19" x14ac:dyDescent="0.25">
      <c r="A33"/>
    </row>
    <row r="34" spans="1:19" x14ac:dyDescent="0.25">
      <c r="A34"/>
    </row>
    <row r="35" spans="1:19" x14ac:dyDescent="0.25">
      <c r="A35"/>
    </row>
    <row r="37" spans="1:19" x14ac:dyDescent="0.25">
      <c r="B37"/>
    </row>
    <row r="38" spans="1:19" x14ac:dyDescent="0.25">
      <c r="B38" s="5"/>
      <c r="S38" s="55"/>
    </row>
    <row r="39" spans="1:19" x14ac:dyDescent="0.25">
      <c r="B39" s="5"/>
    </row>
    <row r="40" spans="1:19" x14ac:dyDescent="0.25">
      <c r="B40" s="5"/>
    </row>
    <row r="41" spans="1:19" x14ac:dyDescent="0.25">
      <c r="B41" s="5"/>
    </row>
    <row r="42" spans="1:19" x14ac:dyDescent="0.25">
      <c r="B42" s="5"/>
    </row>
    <row r="43" spans="1:19" x14ac:dyDescent="0.25">
      <c r="B43" s="5"/>
    </row>
    <row r="44" spans="1:19" x14ac:dyDescent="0.25">
      <c r="B44" s="5"/>
    </row>
    <row r="45" spans="1:19" x14ac:dyDescent="0.25">
      <c r="B45" s="5"/>
    </row>
    <row r="46" spans="1:19" x14ac:dyDescent="0.25">
      <c r="B46" s="5"/>
    </row>
    <row r="47" spans="1:19" x14ac:dyDescent="0.25">
      <c r="P47" s="56"/>
    </row>
  </sheetData>
  <mergeCells count="5">
    <mergeCell ref="L2:M2"/>
    <mergeCell ref="L5:M5"/>
    <mergeCell ref="J8:K8"/>
    <mergeCell ref="J14:K14"/>
    <mergeCell ref="J16:K16"/>
  </mergeCells>
  <conditionalFormatting sqref="J17:K17 J15:K15 J9:K11">
    <cfRule type="cellIs" dxfId="14" priority="5" operator="equal">
      <formula>0</formula>
    </cfRule>
  </conditionalFormatting>
  <conditionalFormatting sqref="J12:K13">
    <cfRule type="cellIs" dxfId="13" priority="3" operator="equal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4"/>
  <sheetViews>
    <sheetView showGridLines="0" tabSelected="1" topLeftCell="A16" workbookViewId="0">
      <selection activeCell="J53" sqref="J53"/>
    </sheetView>
  </sheetViews>
  <sheetFormatPr defaultRowHeight="12.75" x14ac:dyDescent="0.2"/>
  <cols>
    <col min="1" max="1" width="5.140625" style="241" customWidth="1"/>
    <col min="2" max="2" width="37.5703125" style="503" bestFit="1" customWidth="1"/>
    <col min="3" max="3" width="14.7109375" style="241" bestFit="1" customWidth="1"/>
    <col min="4" max="4" width="5" style="241" bestFit="1" customWidth="1"/>
    <col min="5" max="5" width="6.140625" style="241" bestFit="1" customWidth="1"/>
    <col min="6" max="6" width="5.42578125" style="241" bestFit="1" customWidth="1"/>
    <col min="7" max="7" width="5.7109375" style="241" bestFit="1" customWidth="1"/>
    <col min="8" max="8" width="8.42578125" style="241" bestFit="1" customWidth="1"/>
    <col min="9" max="9" width="5.85546875" style="241" bestFit="1" customWidth="1"/>
    <col min="10" max="10" width="9" style="241" bestFit="1" customWidth="1"/>
    <col min="11" max="11" width="4.42578125" style="241" bestFit="1" customWidth="1"/>
    <col min="12" max="12" width="3.85546875" style="241" bestFit="1" customWidth="1"/>
    <col min="13" max="13" width="5.140625" style="241" bestFit="1" customWidth="1"/>
    <col min="14" max="14" width="20.28515625" style="241" bestFit="1" customWidth="1"/>
    <col min="15" max="15" width="9.42578125" style="241" bestFit="1" customWidth="1"/>
    <col min="16" max="16" width="11.7109375" style="241" bestFit="1" customWidth="1"/>
    <col min="17" max="22" width="6.42578125" style="241" bestFit="1" customWidth="1"/>
    <col min="23" max="23" width="5.42578125" style="241" bestFit="1" customWidth="1"/>
    <col min="24" max="16384" width="9.140625" style="241"/>
  </cols>
  <sheetData>
    <row r="1" spans="1:23" ht="13.5" thickBot="1" x14ac:dyDescent="0.25">
      <c r="B1" s="241"/>
      <c r="P1" s="357" t="s">
        <v>220</v>
      </c>
      <c r="Q1" s="358"/>
      <c r="R1" s="358"/>
      <c r="S1" s="358"/>
      <c r="T1" s="358"/>
      <c r="U1" s="358"/>
      <c r="V1" s="358"/>
      <c r="W1" s="421" t="s">
        <v>123</v>
      </c>
    </row>
    <row r="2" spans="1:23" ht="13.5" thickBot="1" x14ac:dyDescent="0.25">
      <c r="A2" s="359" t="s">
        <v>144</v>
      </c>
      <c r="B2" s="360"/>
      <c r="C2" s="358"/>
      <c r="D2" s="361"/>
      <c r="E2" s="422" t="s">
        <v>121</v>
      </c>
      <c r="F2" s="422" t="s">
        <v>122</v>
      </c>
      <c r="G2" s="422" t="s">
        <v>145</v>
      </c>
      <c r="H2" s="423" t="s">
        <v>123</v>
      </c>
      <c r="M2" s="515" t="s">
        <v>124</v>
      </c>
      <c r="N2" s="516"/>
      <c r="P2" s="362" t="s">
        <v>227</v>
      </c>
      <c r="Q2" s="363" t="s">
        <v>126</v>
      </c>
      <c r="R2" s="364"/>
      <c r="S2" s="424"/>
      <c r="T2" s="424"/>
      <c r="U2" s="424"/>
      <c r="V2" s="424"/>
      <c r="W2" s="425">
        <f>SUM(Q3:V8)</f>
        <v>2.7768000000000002</v>
      </c>
    </row>
    <row r="3" spans="1:23" x14ac:dyDescent="0.2">
      <c r="A3" s="365"/>
      <c r="B3" s="366" t="s">
        <v>146</v>
      </c>
      <c r="C3" s="367" t="s">
        <v>230</v>
      </c>
      <c r="D3" s="368" t="s">
        <v>126</v>
      </c>
      <c r="E3" s="426">
        <f>SUM(R5:S5)</f>
        <v>0.51270000000000004</v>
      </c>
      <c r="F3" s="426">
        <f>SUM(R8)</f>
        <v>0.5</v>
      </c>
      <c r="G3" s="427"/>
      <c r="H3" s="428"/>
      <c r="M3" s="429">
        <v>0.1</v>
      </c>
      <c r="N3" s="430" t="s">
        <v>128</v>
      </c>
      <c r="P3" s="369" t="s">
        <v>218</v>
      </c>
      <c r="Q3" s="431" t="s">
        <v>228</v>
      </c>
      <c r="R3" s="431" t="s">
        <v>229</v>
      </c>
      <c r="S3" s="431"/>
      <c r="T3" s="431"/>
      <c r="U3" s="431"/>
      <c r="V3" s="431"/>
      <c r="W3" s="432"/>
    </row>
    <row r="4" spans="1:23" x14ac:dyDescent="0.2">
      <c r="A4" s="370"/>
      <c r="B4" s="371" t="s">
        <v>146</v>
      </c>
      <c r="C4" s="372" t="s">
        <v>231</v>
      </c>
      <c r="D4" s="373" t="s">
        <v>126</v>
      </c>
      <c r="E4" s="433">
        <f>SUM(Q12:W12)</f>
        <v>1.7805</v>
      </c>
      <c r="F4" s="433">
        <f>SUM(Q18:W18)</f>
        <v>2.7479</v>
      </c>
      <c r="G4" s="434">
        <f>SUM(Q14:W15)</f>
        <v>2.9800999999999997</v>
      </c>
      <c r="H4" s="435"/>
      <c r="M4" s="436"/>
      <c r="N4" s="437"/>
      <c r="P4" s="374"/>
      <c r="Q4" s="438">
        <v>0.87670000000000003</v>
      </c>
      <c r="R4" s="438"/>
      <c r="S4" s="438"/>
      <c r="T4" s="438"/>
      <c r="U4" s="438"/>
      <c r="V4" s="438"/>
      <c r="W4" s="439"/>
    </row>
    <row r="5" spans="1:23" x14ac:dyDescent="0.2">
      <c r="A5" s="365"/>
      <c r="B5" s="375" t="s">
        <v>146</v>
      </c>
      <c r="C5" s="367" t="s">
        <v>232</v>
      </c>
      <c r="D5" s="368" t="s">
        <v>126</v>
      </c>
      <c r="E5" s="426">
        <f>SUM(Q22:V24)</f>
        <v>2.2054999999999998</v>
      </c>
      <c r="F5" s="426">
        <f>SUM(Q26:V27)</f>
        <v>2.7075</v>
      </c>
      <c r="G5" s="427"/>
      <c r="H5" s="428"/>
      <c r="M5" s="436"/>
      <c r="N5" s="437"/>
      <c r="P5" s="374"/>
      <c r="Q5" s="438"/>
      <c r="R5" s="438">
        <v>2.7000000000000001E-3</v>
      </c>
      <c r="S5" s="438">
        <v>0.51</v>
      </c>
      <c r="T5" s="438"/>
      <c r="U5" s="438"/>
      <c r="V5" s="438"/>
      <c r="W5" s="439"/>
    </row>
    <row r="6" spans="1:23" ht="13.5" thickBot="1" x14ac:dyDescent="0.25">
      <c r="A6" s="376"/>
      <c r="B6" s="377" t="s">
        <v>146</v>
      </c>
      <c r="C6" s="378" t="s">
        <v>233</v>
      </c>
      <c r="D6" s="379" t="s">
        <v>126</v>
      </c>
      <c r="E6" s="440">
        <f>E48</f>
        <v>0.34</v>
      </c>
      <c r="F6" s="440">
        <f>F48</f>
        <v>0.35110000000000002</v>
      </c>
      <c r="G6" s="441"/>
      <c r="H6" s="442"/>
      <c r="M6" s="436"/>
      <c r="N6" s="437"/>
      <c r="P6" s="369" t="s">
        <v>219</v>
      </c>
      <c r="Q6" s="431"/>
      <c r="R6" s="431"/>
      <c r="S6" s="431"/>
      <c r="T6" s="431"/>
      <c r="U6" s="431"/>
      <c r="V6" s="431"/>
      <c r="W6" s="432"/>
    </row>
    <row r="7" spans="1:23" ht="13.5" thickTop="1" x14ac:dyDescent="0.2">
      <c r="A7" s="380"/>
      <c r="B7" s="381" t="s">
        <v>147</v>
      </c>
      <c r="C7" s="382">
        <v>0.2</v>
      </c>
      <c r="D7" s="383" t="s">
        <v>126</v>
      </c>
      <c r="E7" s="443"/>
      <c r="F7" s="443"/>
      <c r="G7" s="444"/>
      <c r="H7" s="445"/>
      <c r="M7" s="436"/>
      <c r="N7" s="437"/>
      <c r="P7" s="384"/>
      <c r="Q7" s="438">
        <v>0.88739999999999997</v>
      </c>
      <c r="R7" s="438"/>
      <c r="S7" s="438"/>
      <c r="T7" s="438"/>
      <c r="U7" s="438"/>
      <c r="V7" s="438"/>
      <c r="W7" s="439"/>
    </row>
    <row r="8" spans="1:23" ht="13.5" thickBot="1" x14ac:dyDescent="0.25">
      <c r="A8" s="385"/>
      <c r="B8" s="386" t="s">
        <v>148</v>
      </c>
      <c r="C8" s="387">
        <v>0.6</v>
      </c>
      <c r="D8" s="388" t="s">
        <v>126</v>
      </c>
      <c r="E8" s="446"/>
      <c r="F8" s="446"/>
      <c r="G8" s="447"/>
      <c r="H8" s="448"/>
      <c r="M8" s="436"/>
      <c r="N8" s="437"/>
      <c r="P8" s="389"/>
      <c r="Q8" s="449"/>
      <c r="R8" s="449">
        <v>0.5</v>
      </c>
      <c r="S8" s="449"/>
      <c r="T8" s="449"/>
      <c r="U8" s="449"/>
      <c r="V8" s="449"/>
      <c r="W8" s="450"/>
    </row>
    <row r="9" spans="1:23" ht="14.25" thickTop="1" thickBot="1" x14ac:dyDescent="0.25">
      <c r="A9" s="390"/>
      <c r="B9" s="391" t="s">
        <v>149</v>
      </c>
      <c r="C9" s="392">
        <f>SUM(E3:G6)*(1+M3)</f>
        <v>15.537830000000003</v>
      </c>
      <c r="D9" s="393" t="s">
        <v>126</v>
      </c>
      <c r="E9" s="451"/>
      <c r="F9" s="451"/>
      <c r="G9" s="452"/>
      <c r="H9" s="453"/>
      <c r="M9" s="436"/>
      <c r="N9" s="437"/>
    </row>
    <row r="10" spans="1:23" x14ac:dyDescent="0.2">
      <c r="A10" s="390"/>
      <c r="B10" s="391" t="s">
        <v>150</v>
      </c>
      <c r="C10" s="392">
        <f>C9*C7*C8</f>
        <v>1.8645396000000003</v>
      </c>
      <c r="D10" s="393" t="s">
        <v>151</v>
      </c>
      <c r="E10" s="451"/>
      <c r="F10" s="451"/>
      <c r="G10" s="452"/>
      <c r="H10" s="453"/>
      <c r="M10" s="436"/>
      <c r="N10" s="437"/>
      <c r="P10" s="362" t="s">
        <v>234</v>
      </c>
      <c r="Q10" s="363" t="s">
        <v>126</v>
      </c>
      <c r="R10" s="364"/>
      <c r="S10" s="424"/>
      <c r="T10" s="424"/>
      <c r="U10" s="424"/>
      <c r="V10" s="424"/>
      <c r="W10" s="425">
        <f>SUM(Q11:V18)</f>
        <v>11.4605</v>
      </c>
    </row>
    <row r="11" spans="1:23" ht="13.5" thickBot="1" x14ac:dyDescent="0.25">
      <c r="A11" s="394"/>
      <c r="B11" s="395" t="s">
        <v>152</v>
      </c>
      <c r="C11" s="396">
        <f>C9*C7</f>
        <v>3.1075660000000007</v>
      </c>
      <c r="D11" s="397" t="s">
        <v>10</v>
      </c>
      <c r="E11" s="454"/>
      <c r="F11" s="454"/>
      <c r="G11" s="455"/>
      <c r="H11" s="456"/>
      <c r="M11" s="457"/>
      <c r="N11" s="458"/>
      <c r="P11" s="369" t="s">
        <v>218</v>
      </c>
      <c r="Q11" s="431" t="s">
        <v>228</v>
      </c>
      <c r="R11" s="431" t="s">
        <v>229</v>
      </c>
      <c r="S11" s="431"/>
      <c r="T11" s="431"/>
      <c r="U11" s="431"/>
      <c r="V11" s="431"/>
      <c r="W11" s="432"/>
    </row>
    <row r="12" spans="1:23" ht="13.5" thickBot="1" x14ac:dyDescent="0.25">
      <c r="B12" s="241"/>
      <c r="P12" s="398"/>
      <c r="Q12" s="459"/>
      <c r="R12" s="459">
        <v>0.9153</v>
      </c>
      <c r="S12" s="459">
        <v>0.1794</v>
      </c>
      <c r="T12" s="459">
        <v>0.25269999999999998</v>
      </c>
      <c r="U12" s="459">
        <v>0.32929999999999998</v>
      </c>
      <c r="V12" s="459">
        <v>0.1038</v>
      </c>
      <c r="W12" s="460"/>
    </row>
    <row r="13" spans="1:23" ht="14.25" thickTop="1" thickBot="1" x14ac:dyDescent="0.25">
      <c r="A13" s="359" t="s">
        <v>120</v>
      </c>
      <c r="B13" s="360"/>
      <c r="C13" s="358"/>
      <c r="D13" s="361" t="s">
        <v>126</v>
      </c>
      <c r="E13" s="422" t="s">
        <v>121</v>
      </c>
      <c r="F13" s="422" t="s">
        <v>122</v>
      </c>
      <c r="G13" s="422" t="s">
        <v>145</v>
      </c>
      <c r="H13" s="421" t="s">
        <v>182</v>
      </c>
      <c r="J13" s="461" t="s">
        <v>123</v>
      </c>
      <c r="M13" s="515" t="s">
        <v>124</v>
      </c>
      <c r="N13" s="516"/>
      <c r="P13" s="369" t="s">
        <v>237</v>
      </c>
      <c r="Q13" s="431" t="s">
        <v>228</v>
      </c>
      <c r="R13" s="431" t="s">
        <v>229</v>
      </c>
      <c r="S13" s="431"/>
      <c r="T13" s="431"/>
      <c r="U13" s="431"/>
      <c r="V13" s="431"/>
      <c r="W13" s="432"/>
    </row>
    <row r="14" spans="1:23" x14ac:dyDescent="0.2">
      <c r="A14" s="365"/>
      <c r="B14" s="366" t="s">
        <v>146</v>
      </c>
      <c r="C14" s="367" t="s">
        <v>230</v>
      </c>
      <c r="D14" s="368" t="s">
        <v>126</v>
      </c>
      <c r="E14" s="426">
        <f>E45*(1+M14)</f>
        <v>1.5283400000000003</v>
      </c>
      <c r="F14" s="426">
        <f>F45*(1+M14)</f>
        <v>1.5261400000000001</v>
      </c>
      <c r="G14" s="427"/>
      <c r="H14" s="462">
        <f>SUM(E14:G14)</f>
        <v>3.0544800000000003</v>
      </c>
      <c r="J14" s="510">
        <f>SUM(H14:H17)*(1+M14)</f>
        <v>22.130987999999999</v>
      </c>
      <c r="M14" s="463" t="s">
        <v>127</v>
      </c>
      <c r="N14" s="430" t="s">
        <v>128</v>
      </c>
      <c r="P14" s="374"/>
      <c r="Q14" s="438">
        <v>0.11550000000000001</v>
      </c>
      <c r="R14" s="438">
        <v>1.6001000000000001</v>
      </c>
      <c r="S14" s="438">
        <v>0.11</v>
      </c>
      <c r="T14" s="438">
        <v>0.41010000000000002</v>
      </c>
      <c r="U14" s="438">
        <v>0.67879999999999996</v>
      </c>
      <c r="V14" s="438"/>
      <c r="W14" s="439"/>
    </row>
    <row r="15" spans="1:23" x14ac:dyDescent="0.2">
      <c r="A15" s="370"/>
      <c r="B15" s="371" t="s">
        <v>146</v>
      </c>
      <c r="C15" s="372" t="s">
        <v>231</v>
      </c>
      <c r="D15" s="373" t="s">
        <v>126</v>
      </c>
      <c r="E15" s="433">
        <f>E46</f>
        <v>1.7805</v>
      </c>
      <c r="F15" s="433">
        <f>F46</f>
        <v>2.7479</v>
      </c>
      <c r="G15" s="434">
        <f>G46</f>
        <v>6.9321000000000002</v>
      </c>
      <c r="H15" s="464">
        <f t="shared" ref="H15:H17" si="0">SUM(E15:G15)</f>
        <v>11.4605</v>
      </c>
      <c r="J15" s="511"/>
      <c r="M15" s="436"/>
      <c r="N15" s="437"/>
      <c r="P15" s="384"/>
      <c r="Q15" s="438">
        <v>6.5600000000000006E-2</v>
      </c>
      <c r="R15" s="438"/>
      <c r="S15" s="438"/>
      <c r="T15" s="438"/>
      <c r="U15" s="438"/>
      <c r="V15" s="438"/>
      <c r="W15" s="439"/>
    </row>
    <row r="16" spans="1:23" ht="13.5" thickBot="1" x14ac:dyDescent="0.25">
      <c r="A16" s="365"/>
      <c r="B16" s="375" t="s">
        <v>146</v>
      </c>
      <c r="C16" s="367" t="s">
        <v>232</v>
      </c>
      <c r="D16" s="368" t="s">
        <v>126</v>
      </c>
      <c r="E16" s="426">
        <f>E47</f>
        <v>2.2054999999999998</v>
      </c>
      <c r="F16" s="426">
        <f>F47</f>
        <v>2.7075</v>
      </c>
      <c r="G16" s="427"/>
      <c r="H16" s="462">
        <f t="shared" si="0"/>
        <v>4.9130000000000003</v>
      </c>
      <c r="J16" s="511"/>
      <c r="M16" s="436"/>
      <c r="N16" s="437"/>
      <c r="P16" s="399"/>
      <c r="Q16" s="459">
        <v>3.952</v>
      </c>
      <c r="R16" s="459"/>
      <c r="S16" s="459"/>
      <c r="T16" s="459"/>
      <c r="U16" s="459"/>
      <c r="V16" s="459"/>
      <c r="W16" s="460"/>
    </row>
    <row r="17" spans="1:23" ht="14.25" thickTop="1" thickBot="1" x14ac:dyDescent="0.25">
      <c r="A17" s="400"/>
      <c r="B17" s="401" t="s">
        <v>146</v>
      </c>
      <c r="C17" s="402" t="s">
        <v>233</v>
      </c>
      <c r="D17" s="403" t="s">
        <v>126</v>
      </c>
      <c r="E17" s="465">
        <f>E48</f>
        <v>0.34</v>
      </c>
      <c r="F17" s="465">
        <f>F48</f>
        <v>0.35110000000000002</v>
      </c>
      <c r="G17" s="466"/>
      <c r="H17" s="467">
        <f t="shared" si="0"/>
        <v>0.69110000000000005</v>
      </c>
      <c r="J17" s="512"/>
      <c r="M17" s="457"/>
      <c r="N17" s="458"/>
      <c r="P17" s="369" t="s">
        <v>219</v>
      </c>
      <c r="Q17" s="431"/>
      <c r="R17" s="431"/>
      <c r="S17" s="431"/>
      <c r="T17" s="431"/>
      <c r="U17" s="431"/>
      <c r="V17" s="431"/>
      <c r="W17" s="432"/>
    </row>
    <row r="18" spans="1:23" ht="13.5" thickBot="1" x14ac:dyDescent="0.25">
      <c r="A18" s="328"/>
      <c r="B18" s="240"/>
      <c r="P18" s="389"/>
      <c r="Q18" s="449"/>
      <c r="R18" s="449">
        <v>0.91390000000000005</v>
      </c>
      <c r="S18" s="449">
        <v>0.70620000000000005</v>
      </c>
      <c r="T18" s="449">
        <v>0.3654</v>
      </c>
      <c r="U18" s="449">
        <v>0.76239999999999997</v>
      </c>
      <c r="V18" s="449"/>
      <c r="W18" s="450"/>
    </row>
    <row r="19" spans="1:23" ht="13.5" thickBot="1" x14ac:dyDescent="0.25">
      <c r="A19" s="359" t="s">
        <v>129</v>
      </c>
      <c r="B19" s="360"/>
      <c r="C19" s="358"/>
      <c r="D19" s="361" t="s">
        <v>126</v>
      </c>
      <c r="E19" s="422" t="s">
        <v>121</v>
      </c>
      <c r="F19" s="422" t="s">
        <v>122</v>
      </c>
      <c r="G19" s="422" t="s">
        <v>145</v>
      </c>
      <c r="H19" s="423" t="s">
        <v>123</v>
      </c>
      <c r="J19" s="461" t="s">
        <v>123</v>
      </c>
      <c r="M19" s="515" t="s">
        <v>124</v>
      </c>
      <c r="N19" s="516"/>
    </row>
    <row r="20" spans="1:23" x14ac:dyDescent="0.2">
      <c r="A20" s="365"/>
      <c r="B20" s="366" t="s">
        <v>146</v>
      </c>
      <c r="C20" s="367">
        <v>40</v>
      </c>
      <c r="D20" s="368" t="s">
        <v>126</v>
      </c>
      <c r="E20" s="426">
        <f>SUM(Q4)</f>
        <v>0.87670000000000003</v>
      </c>
      <c r="F20" s="426">
        <f>SUM(Q7)</f>
        <v>0.88739999999999997</v>
      </c>
      <c r="G20" s="427"/>
      <c r="H20" s="428">
        <f>SUM(E20:G20)</f>
        <v>1.7641</v>
      </c>
      <c r="J20" s="468">
        <f>H20*(1+M20)</f>
        <v>1.9405100000000002</v>
      </c>
      <c r="M20" s="463" t="s">
        <v>127</v>
      </c>
      <c r="N20" s="430" t="s">
        <v>128</v>
      </c>
      <c r="P20" s="362" t="s">
        <v>236</v>
      </c>
      <c r="Q20" s="363" t="s">
        <v>126</v>
      </c>
      <c r="R20" s="364"/>
      <c r="S20" s="424"/>
      <c r="T20" s="424"/>
      <c r="U20" s="424"/>
      <c r="V20" s="424"/>
      <c r="W20" s="425">
        <f>SUM(Q21:V27)</f>
        <v>4.9129999999999994</v>
      </c>
    </row>
    <row r="21" spans="1:23" ht="13.5" thickBot="1" x14ac:dyDescent="0.25">
      <c r="A21" s="400"/>
      <c r="B21" s="401" t="s">
        <v>146</v>
      </c>
      <c r="C21" s="402">
        <v>50</v>
      </c>
      <c r="D21" s="403" t="s">
        <v>126</v>
      </c>
      <c r="E21" s="465"/>
      <c r="F21" s="465"/>
      <c r="G21" s="466">
        <f>Q16</f>
        <v>3.952</v>
      </c>
      <c r="H21" s="469">
        <f>SUM(E21:G21)</f>
        <v>3.952</v>
      </c>
      <c r="J21" s="470">
        <f>H21*(1+M20)</f>
        <v>4.3472</v>
      </c>
      <c r="M21" s="457"/>
      <c r="N21" s="458"/>
      <c r="P21" s="369" t="s">
        <v>218</v>
      </c>
      <c r="Q21" s="431" t="s">
        <v>228</v>
      </c>
      <c r="R21" s="431" t="s">
        <v>229</v>
      </c>
      <c r="S21" s="431"/>
      <c r="T21" s="431"/>
      <c r="U21" s="431"/>
      <c r="V21" s="431"/>
      <c r="W21" s="432"/>
    </row>
    <row r="22" spans="1:23" ht="13.5" thickBot="1" x14ac:dyDescent="0.25">
      <c r="B22" s="241"/>
      <c r="P22" s="374"/>
      <c r="Q22" s="438">
        <v>0.64419999999999999</v>
      </c>
      <c r="R22" s="438"/>
      <c r="S22" s="438"/>
      <c r="T22" s="438"/>
      <c r="U22" s="438"/>
      <c r="V22" s="438"/>
      <c r="W22" s="439"/>
    </row>
    <row r="23" spans="1:23" ht="13.5" thickBot="1" x14ac:dyDescent="0.25">
      <c r="A23" s="359" t="s">
        <v>153</v>
      </c>
      <c r="B23" s="360"/>
      <c r="C23" s="358"/>
      <c r="D23" s="361"/>
      <c r="E23" s="422" t="s">
        <v>121</v>
      </c>
      <c r="F23" s="422" t="s">
        <v>122</v>
      </c>
      <c r="G23" s="422" t="s">
        <v>145</v>
      </c>
      <c r="H23" s="423" t="s">
        <v>123</v>
      </c>
      <c r="J23" s="471" t="s">
        <v>36</v>
      </c>
      <c r="K23" s="513" t="s">
        <v>131</v>
      </c>
      <c r="L23" s="514"/>
      <c r="N23" s="472" t="s">
        <v>124</v>
      </c>
      <c r="P23" s="374"/>
      <c r="Q23" s="438"/>
      <c r="R23" s="438">
        <v>0.23949999999999999</v>
      </c>
      <c r="S23" s="438">
        <v>1.0879000000000001</v>
      </c>
      <c r="T23" s="438"/>
      <c r="U23" s="438"/>
      <c r="V23" s="438"/>
      <c r="W23" s="439"/>
    </row>
    <row r="24" spans="1:23" ht="13.5" thickBot="1" x14ac:dyDescent="0.25">
      <c r="A24" s="404" t="s">
        <v>238</v>
      </c>
      <c r="B24" s="405" t="s">
        <v>239</v>
      </c>
      <c r="C24" s="406" t="s">
        <v>240</v>
      </c>
      <c r="D24" s="407" t="s">
        <v>1</v>
      </c>
      <c r="E24" s="473">
        <v>1</v>
      </c>
      <c r="F24" s="473">
        <v>1</v>
      </c>
      <c r="G24" s="473"/>
      <c r="H24" s="474">
        <f>SUM(E24:G24)</f>
        <v>2</v>
      </c>
      <c r="J24" s="475">
        <v>2</v>
      </c>
      <c r="K24" s="476">
        <f>J24-H24</f>
        <v>0</v>
      </c>
      <c r="L24" s="477">
        <f>K24/J24</f>
        <v>0</v>
      </c>
      <c r="N24" s="478"/>
      <c r="P24" s="398"/>
      <c r="Q24" s="459"/>
      <c r="R24" s="459">
        <v>0.2339</v>
      </c>
      <c r="S24" s="459"/>
      <c r="T24" s="459"/>
      <c r="U24" s="459"/>
      <c r="V24" s="459"/>
      <c r="W24" s="460"/>
    </row>
    <row r="25" spans="1:23" ht="13.5" thickBot="1" x14ac:dyDescent="0.25">
      <c r="B25" s="241"/>
      <c r="P25" s="369" t="s">
        <v>219</v>
      </c>
      <c r="Q25" s="431"/>
      <c r="R25" s="431"/>
      <c r="S25" s="431"/>
      <c r="T25" s="431"/>
      <c r="U25" s="431"/>
      <c r="V25" s="431"/>
      <c r="W25" s="432"/>
    </row>
    <row r="26" spans="1:23" ht="13.5" thickBot="1" x14ac:dyDescent="0.25">
      <c r="A26" s="359" t="s">
        <v>130</v>
      </c>
      <c r="B26" s="408"/>
      <c r="C26" s="358"/>
      <c r="D26" s="361"/>
      <c r="E26" s="479" t="s">
        <v>121</v>
      </c>
      <c r="F26" s="422" t="s">
        <v>122</v>
      </c>
      <c r="G26" s="422" t="s">
        <v>145</v>
      </c>
      <c r="H26" s="423" t="s">
        <v>123</v>
      </c>
      <c r="J26" s="471" t="s">
        <v>36</v>
      </c>
      <c r="K26" s="513" t="s">
        <v>131</v>
      </c>
      <c r="L26" s="514"/>
      <c r="N26" s="472" t="s">
        <v>124</v>
      </c>
      <c r="P26" s="384"/>
      <c r="Q26" s="438">
        <v>0.65890000000000004</v>
      </c>
      <c r="R26" s="438"/>
      <c r="S26" s="438"/>
      <c r="T26" s="438"/>
      <c r="U26" s="438"/>
      <c r="V26" s="438"/>
      <c r="W26" s="439"/>
    </row>
    <row r="27" spans="1:23" ht="13.5" thickBot="1" x14ac:dyDescent="0.25">
      <c r="A27" s="365" t="s">
        <v>155</v>
      </c>
      <c r="B27" s="366" t="s">
        <v>221</v>
      </c>
      <c r="C27" s="367">
        <v>50</v>
      </c>
      <c r="D27" s="368" t="s">
        <v>1</v>
      </c>
      <c r="E27" s="480"/>
      <c r="F27" s="480"/>
      <c r="G27" s="481">
        <v>1</v>
      </c>
      <c r="H27" s="482">
        <f t="shared" ref="H27:H43" si="1">SUM(E27:G27)</f>
        <v>1</v>
      </c>
      <c r="J27" s="483">
        <v>1</v>
      </c>
      <c r="K27" s="481">
        <f>J27-H27</f>
        <v>0</v>
      </c>
      <c r="L27" s="484">
        <f>K27/J27</f>
        <v>0</v>
      </c>
      <c r="N27" s="485"/>
      <c r="P27" s="389"/>
      <c r="Q27" s="449"/>
      <c r="R27" s="449">
        <v>0.82110000000000005</v>
      </c>
      <c r="S27" s="449">
        <v>0.70150000000000001</v>
      </c>
      <c r="T27" s="449">
        <v>0.12609999999999999</v>
      </c>
      <c r="U27" s="449">
        <v>0.39989999999999998</v>
      </c>
      <c r="V27" s="449"/>
      <c r="W27" s="450"/>
    </row>
    <row r="28" spans="1:23" ht="13.5" thickBot="1" x14ac:dyDescent="0.25">
      <c r="A28" s="370" t="s">
        <v>156</v>
      </c>
      <c r="B28" s="371" t="s">
        <v>222</v>
      </c>
      <c r="C28" s="372" t="s">
        <v>157</v>
      </c>
      <c r="D28" s="373" t="s">
        <v>1</v>
      </c>
      <c r="E28" s="486">
        <v>1</v>
      </c>
      <c r="F28" s="486">
        <v>1</v>
      </c>
      <c r="G28" s="487">
        <v>1</v>
      </c>
      <c r="H28" s="488">
        <f t="shared" si="1"/>
        <v>3</v>
      </c>
      <c r="J28" s="489">
        <v>3</v>
      </c>
      <c r="K28" s="487">
        <f>J28-H28</f>
        <v>0</v>
      </c>
      <c r="L28" s="490">
        <f>K28/J28</f>
        <v>0</v>
      </c>
      <c r="N28" s="485"/>
    </row>
    <row r="29" spans="1:23" x14ac:dyDescent="0.2">
      <c r="A29" s="365" t="s">
        <v>158</v>
      </c>
      <c r="B29" s="375" t="s">
        <v>223</v>
      </c>
      <c r="C29" s="367">
        <v>100</v>
      </c>
      <c r="D29" s="368" t="s">
        <v>1</v>
      </c>
      <c r="E29" s="480">
        <v>1</v>
      </c>
      <c r="F29" s="480">
        <v>1</v>
      </c>
      <c r="G29" s="481"/>
      <c r="H29" s="482">
        <f t="shared" si="1"/>
        <v>2</v>
      </c>
      <c r="J29" s="483">
        <v>2</v>
      </c>
      <c r="K29" s="481">
        <f>J29-H29</f>
        <v>0</v>
      </c>
      <c r="L29" s="484">
        <f>K29/J29</f>
        <v>0</v>
      </c>
      <c r="N29" s="485"/>
      <c r="P29" s="362" t="s">
        <v>235</v>
      </c>
      <c r="Q29" s="363" t="s">
        <v>126</v>
      </c>
      <c r="R29" s="364"/>
      <c r="S29" s="424"/>
      <c r="T29" s="424"/>
      <c r="U29" s="424"/>
      <c r="V29" s="424"/>
      <c r="W29" s="425">
        <f>SUM(Q30:V33)</f>
        <v>0.69110000000000005</v>
      </c>
    </row>
    <row r="30" spans="1:23" x14ac:dyDescent="0.2">
      <c r="A30" s="370" t="s">
        <v>159</v>
      </c>
      <c r="B30" s="371" t="s">
        <v>224</v>
      </c>
      <c r="C30" s="372">
        <v>50</v>
      </c>
      <c r="D30" s="373" t="s">
        <v>1</v>
      </c>
      <c r="E30" s="486">
        <f>(2*E28)+E33+E37+E39+E41+E43+E27</f>
        <v>10</v>
      </c>
      <c r="F30" s="486">
        <f t="shared" ref="F30:G30" si="2">(2*F28)+F33+F37+F39+F41+F43+F27</f>
        <v>8</v>
      </c>
      <c r="G30" s="487">
        <f t="shared" si="2"/>
        <v>12</v>
      </c>
      <c r="H30" s="488">
        <f t="shared" si="1"/>
        <v>30</v>
      </c>
      <c r="J30" s="489">
        <v>31</v>
      </c>
      <c r="K30" s="487">
        <f>J30-H30</f>
        <v>1</v>
      </c>
      <c r="L30" s="490">
        <f>K30/J30</f>
        <v>3.2258064516129031E-2</v>
      </c>
      <c r="N30" s="485"/>
      <c r="P30" s="369" t="s">
        <v>218</v>
      </c>
      <c r="Q30" s="431" t="s">
        <v>228</v>
      </c>
      <c r="R30" s="431" t="s">
        <v>229</v>
      </c>
      <c r="S30" s="431"/>
      <c r="T30" s="431"/>
      <c r="U30" s="431"/>
      <c r="V30" s="431"/>
      <c r="W30" s="432"/>
    </row>
    <row r="31" spans="1:23" ht="13.5" thickBot="1" x14ac:dyDescent="0.25">
      <c r="A31" s="365" t="s">
        <v>160</v>
      </c>
      <c r="B31" s="366" t="s">
        <v>224</v>
      </c>
      <c r="C31" s="367">
        <v>100</v>
      </c>
      <c r="D31" s="368" t="s">
        <v>1</v>
      </c>
      <c r="E31" s="480">
        <f>E29+E34+E38+E39+E40+E43+E42</f>
        <v>7</v>
      </c>
      <c r="F31" s="480">
        <f>F29+F34+F38+F39+F40+F43+F42</f>
        <v>9</v>
      </c>
      <c r="G31" s="481">
        <f t="shared" ref="G31" si="3">G29+G34+G38+G39+G40+G43+G42</f>
        <v>0</v>
      </c>
      <c r="H31" s="482">
        <f t="shared" si="1"/>
        <v>16</v>
      </c>
      <c r="J31" s="483">
        <v>15</v>
      </c>
      <c r="K31" s="481">
        <f>J31-H31</f>
        <v>-1</v>
      </c>
      <c r="L31" s="484">
        <f>K31/J31</f>
        <v>-6.6666666666666666E-2</v>
      </c>
      <c r="N31" s="485"/>
      <c r="P31" s="398"/>
      <c r="Q31" s="459">
        <v>0.34</v>
      </c>
      <c r="R31" s="459"/>
      <c r="S31" s="459"/>
      <c r="T31" s="459"/>
      <c r="U31" s="459"/>
      <c r="V31" s="459"/>
      <c r="W31" s="460"/>
    </row>
    <row r="32" spans="1:23" ht="13.5" thickTop="1" x14ac:dyDescent="0.2">
      <c r="A32" s="370" t="s">
        <v>161</v>
      </c>
      <c r="B32" s="371" t="s">
        <v>162</v>
      </c>
      <c r="C32" s="372">
        <v>40</v>
      </c>
      <c r="D32" s="373" t="s">
        <v>1</v>
      </c>
      <c r="E32" s="486">
        <v>1</v>
      </c>
      <c r="F32" s="486">
        <v>1</v>
      </c>
      <c r="G32" s="487"/>
      <c r="H32" s="488">
        <f t="shared" si="1"/>
        <v>2</v>
      </c>
      <c r="J32" s="489">
        <v>2</v>
      </c>
      <c r="K32" s="487">
        <f t="shared" ref="K32:K42" si="4">J32-H32</f>
        <v>0</v>
      </c>
      <c r="L32" s="490">
        <f t="shared" ref="L32:L42" si="5">K32/J32</f>
        <v>0</v>
      </c>
      <c r="N32" s="485"/>
      <c r="P32" s="369" t="s">
        <v>219</v>
      </c>
      <c r="Q32" s="431"/>
      <c r="R32" s="431"/>
      <c r="S32" s="431"/>
      <c r="T32" s="431"/>
      <c r="U32" s="431"/>
      <c r="V32" s="431"/>
      <c r="W32" s="432"/>
    </row>
    <row r="33" spans="1:23" ht="13.5" thickBot="1" x14ac:dyDescent="0.25">
      <c r="A33" s="365" t="s">
        <v>163</v>
      </c>
      <c r="B33" s="366" t="s">
        <v>162</v>
      </c>
      <c r="C33" s="367">
        <v>50</v>
      </c>
      <c r="D33" s="368" t="s">
        <v>1</v>
      </c>
      <c r="E33" s="480">
        <v>3</v>
      </c>
      <c r="F33" s="480">
        <v>2</v>
      </c>
      <c r="G33" s="481">
        <v>2</v>
      </c>
      <c r="H33" s="482">
        <f t="shared" si="1"/>
        <v>7</v>
      </c>
      <c r="J33" s="483">
        <v>7</v>
      </c>
      <c r="K33" s="481">
        <f t="shared" si="4"/>
        <v>0</v>
      </c>
      <c r="L33" s="484">
        <f t="shared" si="5"/>
        <v>0</v>
      </c>
      <c r="N33" s="485"/>
      <c r="P33" s="389"/>
      <c r="Q33" s="449">
        <v>0.35110000000000002</v>
      </c>
      <c r="R33" s="449"/>
      <c r="S33" s="449"/>
      <c r="T33" s="449"/>
      <c r="U33" s="449"/>
      <c r="V33" s="449"/>
      <c r="W33" s="450"/>
    </row>
    <row r="34" spans="1:23" x14ac:dyDescent="0.2">
      <c r="A34" s="370" t="s">
        <v>164</v>
      </c>
      <c r="B34" s="371" t="s">
        <v>162</v>
      </c>
      <c r="C34" s="372">
        <v>100</v>
      </c>
      <c r="D34" s="373" t="s">
        <v>1</v>
      </c>
      <c r="E34" s="486"/>
      <c r="F34" s="486">
        <v>1</v>
      </c>
      <c r="G34" s="487"/>
      <c r="H34" s="488">
        <f t="shared" si="1"/>
        <v>1</v>
      </c>
      <c r="J34" s="489">
        <v>1</v>
      </c>
      <c r="K34" s="487">
        <f t="shared" si="4"/>
        <v>0</v>
      </c>
      <c r="L34" s="490">
        <f t="shared" si="5"/>
        <v>0</v>
      </c>
      <c r="N34" s="485"/>
    </row>
    <row r="35" spans="1:23" x14ac:dyDescent="0.2">
      <c r="A35" s="365" t="s">
        <v>165</v>
      </c>
      <c r="B35" s="366" t="s">
        <v>166</v>
      </c>
      <c r="C35" s="367">
        <v>40</v>
      </c>
      <c r="D35" s="368" t="s">
        <v>1</v>
      </c>
      <c r="E35" s="480">
        <v>1</v>
      </c>
      <c r="F35" s="480">
        <v>1</v>
      </c>
      <c r="G35" s="481"/>
      <c r="H35" s="482">
        <f t="shared" si="1"/>
        <v>2</v>
      </c>
      <c r="J35" s="483">
        <v>2</v>
      </c>
      <c r="K35" s="481">
        <f t="shared" si="4"/>
        <v>0</v>
      </c>
      <c r="L35" s="484">
        <f t="shared" si="5"/>
        <v>0</v>
      </c>
      <c r="N35" s="485"/>
    </row>
    <row r="36" spans="1:23" x14ac:dyDescent="0.2">
      <c r="A36" s="370" t="s">
        <v>167</v>
      </c>
      <c r="B36" s="371" t="s">
        <v>168</v>
      </c>
      <c r="C36" s="372">
        <v>40</v>
      </c>
      <c r="D36" s="373" t="s">
        <v>1</v>
      </c>
      <c r="E36" s="486">
        <v>1</v>
      </c>
      <c r="F36" s="486">
        <v>1</v>
      </c>
      <c r="G36" s="487"/>
      <c r="H36" s="488">
        <f t="shared" si="1"/>
        <v>2</v>
      </c>
      <c r="J36" s="489">
        <v>2</v>
      </c>
      <c r="K36" s="487">
        <f t="shared" si="4"/>
        <v>0</v>
      </c>
      <c r="L36" s="490">
        <f t="shared" si="5"/>
        <v>0</v>
      </c>
      <c r="N36" s="485"/>
    </row>
    <row r="37" spans="1:23" x14ac:dyDescent="0.2">
      <c r="A37" s="365" t="s">
        <v>169</v>
      </c>
      <c r="B37" s="366" t="s">
        <v>168</v>
      </c>
      <c r="C37" s="367">
        <v>50</v>
      </c>
      <c r="D37" s="368" t="s">
        <v>1</v>
      </c>
      <c r="E37" s="480"/>
      <c r="F37" s="480"/>
      <c r="G37" s="481">
        <v>2</v>
      </c>
      <c r="H37" s="482">
        <f t="shared" si="1"/>
        <v>2</v>
      </c>
      <c r="J37" s="483">
        <v>2</v>
      </c>
      <c r="K37" s="481">
        <f t="shared" si="4"/>
        <v>0</v>
      </c>
      <c r="L37" s="484">
        <f t="shared" si="5"/>
        <v>0</v>
      </c>
      <c r="N37" s="485"/>
    </row>
    <row r="38" spans="1:23" x14ac:dyDescent="0.2">
      <c r="A38" s="370" t="s">
        <v>170</v>
      </c>
      <c r="B38" s="371" t="s">
        <v>168</v>
      </c>
      <c r="C38" s="372">
        <v>100</v>
      </c>
      <c r="D38" s="373" t="s">
        <v>1</v>
      </c>
      <c r="E38" s="486">
        <v>1</v>
      </c>
      <c r="F38" s="486">
        <v>1</v>
      </c>
      <c r="G38" s="486"/>
      <c r="H38" s="488">
        <f t="shared" si="1"/>
        <v>2</v>
      </c>
      <c r="J38" s="489">
        <v>2</v>
      </c>
      <c r="K38" s="487">
        <f t="shared" si="4"/>
        <v>0</v>
      </c>
      <c r="L38" s="490">
        <f t="shared" si="5"/>
        <v>0</v>
      </c>
      <c r="N38" s="485"/>
    </row>
    <row r="39" spans="1:23" x14ac:dyDescent="0.2">
      <c r="A39" s="365" t="s">
        <v>171</v>
      </c>
      <c r="B39" s="366" t="s">
        <v>172</v>
      </c>
      <c r="C39" s="367" t="s">
        <v>173</v>
      </c>
      <c r="D39" s="368" t="s">
        <v>1</v>
      </c>
      <c r="E39" s="480"/>
      <c r="F39" s="480">
        <v>1</v>
      </c>
      <c r="G39" s="480"/>
      <c r="H39" s="482">
        <f t="shared" si="1"/>
        <v>1</v>
      </c>
      <c r="J39" s="483">
        <v>1</v>
      </c>
      <c r="K39" s="481">
        <f t="shared" si="4"/>
        <v>0</v>
      </c>
      <c r="L39" s="484">
        <f t="shared" si="5"/>
        <v>0</v>
      </c>
      <c r="N39" s="485"/>
    </row>
    <row r="40" spans="1:23" x14ac:dyDescent="0.2">
      <c r="A40" s="370" t="s">
        <v>174</v>
      </c>
      <c r="B40" s="371" t="s">
        <v>172</v>
      </c>
      <c r="C40" s="372" t="s">
        <v>175</v>
      </c>
      <c r="D40" s="373" t="s">
        <v>1</v>
      </c>
      <c r="E40" s="486">
        <v>1</v>
      </c>
      <c r="F40" s="486">
        <v>1</v>
      </c>
      <c r="G40" s="487"/>
      <c r="H40" s="488">
        <f t="shared" si="1"/>
        <v>2</v>
      </c>
      <c r="J40" s="489">
        <v>2</v>
      </c>
      <c r="K40" s="487">
        <f t="shared" si="4"/>
        <v>0</v>
      </c>
      <c r="L40" s="490">
        <f t="shared" si="5"/>
        <v>0</v>
      </c>
      <c r="N40" s="485"/>
    </row>
    <row r="41" spans="1:23" x14ac:dyDescent="0.2">
      <c r="A41" s="365" t="s">
        <v>176</v>
      </c>
      <c r="B41" s="366" t="s">
        <v>225</v>
      </c>
      <c r="C41" s="367">
        <v>50</v>
      </c>
      <c r="D41" s="368" t="s">
        <v>1</v>
      </c>
      <c r="E41" s="480">
        <v>4</v>
      </c>
      <c r="F41" s="480">
        <v>3</v>
      </c>
      <c r="G41" s="481">
        <v>5</v>
      </c>
      <c r="H41" s="482">
        <f t="shared" si="1"/>
        <v>12</v>
      </c>
      <c r="J41" s="483">
        <v>12</v>
      </c>
      <c r="K41" s="481">
        <f t="shared" si="4"/>
        <v>0</v>
      </c>
      <c r="L41" s="484">
        <f t="shared" si="5"/>
        <v>0</v>
      </c>
      <c r="N41" s="485"/>
    </row>
    <row r="42" spans="1:23" x14ac:dyDescent="0.2">
      <c r="A42" s="370" t="s">
        <v>177</v>
      </c>
      <c r="B42" s="371" t="s">
        <v>225</v>
      </c>
      <c r="C42" s="372">
        <v>100</v>
      </c>
      <c r="D42" s="373" t="s">
        <v>1</v>
      </c>
      <c r="E42" s="486">
        <v>3</v>
      </c>
      <c r="F42" s="486">
        <v>4</v>
      </c>
      <c r="G42" s="487"/>
      <c r="H42" s="488">
        <f t="shared" si="1"/>
        <v>7</v>
      </c>
      <c r="J42" s="489">
        <v>7</v>
      </c>
      <c r="K42" s="487">
        <f t="shared" si="4"/>
        <v>0</v>
      </c>
      <c r="L42" s="490">
        <f t="shared" si="5"/>
        <v>0</v>
      </c>
      <c r="N42" s="485"/>
    </row>
    <row r="43" spans="1:23" ht="13.5" thickBot="1" x14ac:dyDescent="0.25">
      <c r="A43" s="365" t="s">
        <v>180</v>
      </c>
      <c r="B43" s="366" t="s">
        <v>226</v>
      </c>
      <c r="C43" s="367" t="s">
        <v>173</v>
      </c>
      <c r="D43" s="368" t="s">
        <v>1</v>
      </c>
      <c r="E43" s="480">
        <v>1</v>
      </c>
      <c r="F43" s="480"/>
      <c r="G43" s="481"/>
      <c r="H43" s="482">
        <f t="shared" si="1"/>
        <v>1</v>
      </c>
      <c r="J43" s="483">
        <v>1</v>
      </c>
      <c r="K43" s="481">
        <f t="shared" ref="K43" si="6">J43-H43</f>
        <v>0</v>
      </c>
      <c r="L43" s="484">
        <f t="shared" ref="L43" si="7">K43/J43</f>
        <v>0</v>
      </c>
      <c r="N43" s="485"/>
    </row>
    <row r="44" spans="1:23" ht="13.5" thickBot="1" x14ac:dyDescent="0.25">
      <c r="A44" s="359" t="s">
        <v>143</v>
      </c>
      <c r="B44" s="408"/>
      <c r="C44" s="358"/>
      <c r="D44" s="361"/>
      <c r="E44" s="479" t="s">
        <v>121</v>
      </c>
      <c r="F44" s="422" t="s">
        <v>122</v>
      </c>
      <c r="G44" s="422" t="s">
        <v>145</v>
      </c>
      <c r="H44" s="423" t="s">
        <v>123</v>
      </c>
      <c r="J44" s="471" t="s">
        <v>36</v>
      </c>
      <c r="K44" s="513" t="s">
        <v>131</v>
      </c>
      <c r="L44" s="514"/>
      <c r="N44" s="472" t="s">
        <v>124</v>
      </c>
    </row>
    <row r="45" spans="1:23" x14ac:dyDescent="0.2">
      <c r="A45" s="365"/>
      <c r="B45" s="366" t="s">
        <v>146</v>
      </c>
      <c r="C45" s="367">
        <v>40</v>
      </c>
      <c r="D45" s="368" t="s">
        <v>126</v>
      </c>
      <c r="E45" s="426">
        <f>SUM(Q4:V5)</f>
        <v>1.3894000000000002</v>
      </c>
      <c r="F45" s="426">
        <f>SUM(Q7:V8)</f>
        <v>1.3874</v>
      </c>
      <c r="G45" s="427"/>
      <c r="H45" s="428">
        <f>SUM(E45:G45)</f>
        <v>2.7768000000000002</v>
      </c>
      <c r="J45" s="491">
        <v>2.78</v>
      </c>
      <c r="K45" s="427">
        <f>J45-H45</f>
        <v>3.1999999999996476E-3</v>
      </c>
      <c r="L45" s="484">
        <f>K45/J45</f>
        <v>1.1510791366905208E-3</v>
      </c>
      <c r="N45" s="492"/>
    </row>
    <row r="46" spans="1:23" x14ac:dyDescent="0.2">
      <c r="A46" s="370"/>
      <c r="B46" s="371" t="s">
        <v>146</v>
      </c>
      <c r="C46" s="372">
        <v>50</v>
      </c>
      <c r="D46" s="373" t="s">
        <v>126</v>
      </c>
      <c r="E46" s="433">
        <f>SUM(Q12:V12)</f>
        <v>1.7805</v>
      </c>
      <c r="F46" s="433">
        <f>SUM(Q18:V18)</f>
        <v>2.7479</v>
      </c>
      <c r="G46" s="434">
        <f>SUM(Q14:V16)</f>
        <v>6.9321000000000002</v>
      </c>
      <c r="H46" s="435">
        <f>SUM(E46:G46)</f>
        <v>11.4605</v>
      </c>
      <c r="J46" s="493">
        <v>11.46</v>
      </c>
      <c r="K46" s="434">
        <f>J46-H46</f>
        <v>-4.9999999999883471E-4</v>
      </c>
      <c r="L46" s="490">
        <f>K46/J46</f>
        <v>-4.3630017451905292E-5</v>
      </c>
      <c r="N46" s="494"/>
    </row>
    <row r="47" spans="1:23" x14ac:dyDescent="0.2">
      <c r="A47" s="365"/>
      <c r="B47" s="366" t="s">
        <v>146</v>
      </c>
      <c r="C47" s="367">
        <v>100</v>
      </c>
      <c r="D47" s="368" t="s">
        <v>126</v>
      </c>
      <c r="E47" s="426">
        <f>SUM(Q22:V24)</f>
        <v>2.2054999999999998</v>
      </c>
      <c r="F47" s="426">
        <f>SUM(Q26:V27)</f>
        <v>2.7075</v>
      </c>
      <c r="G47" s="427"/>
      <c r="H47" s="428">
        <f>SUM(E47:G47)</f>
        <v>4.9130000000000003</v>
      </c>
      <c r="J47" s="491">
        <v>4.91</v>
      </c>
      <c r="K47" s="427">
        <f t="shared" ref="K47" si="8">J47-H47</f>
        <v>-3.0000000000001137E-3</v>
      </c>
      <c r="L47" s="484">
        <f t="shared" ref="L47" si="9">K47/J47</f>
        <v>-6.1099796334014534E-4</v>
      </c>
      <c r="N47" s="485"/>
    </row>
    <row r="48" spans="1:23" ht="13.5" thickBot="1" x14ac:dyDescent="0.25">
      <c r="A48" s="400"/>
      <c r="B48" s="401" t="s">
        <v>146</v>
      </c>
      <c r="C48" s="402">
        <v>150</v>
      </c>
      <c r="D48" s="403" t="s">
        <v>126</v>
      </c>
      <c r="E48" s="465">
        <f>SUM(Q31)</f>
        <v>0.34</v>
      </c>
      <c r="F48" s="465">
        <f>SUM(Q33)</f>
        <v>0.35110000000000002</v>
      </c>
      <c r="G48" s="465"/>
      <c r="H48" s="469">
        <f>SUM(E48:G48)</f>
        <v>0.69110000000000005</v>
      </c>
      <c r="J48" s="495">
        <v>0.69</v>
      </c>
      <c r="K48" s="466">
        <f>J48-H48</f>
        <v>-1.1000000000001009E-3</v>
      </c>
      <c r="L48" s="496">
        <f>K48/J48</f>
        <v>-1.5942028985508709E-3</v>
      </c>
      <c r="N48" s="478"/>
    </row>
    <row r="49" spans="1:9" ht="13.5" thickBot="1" x14ac:dyDescent="0.25">
      <c r="B49" s="241"/>
    </row>
    <row r="50" spans="1:9" ht="13.5" thickBot="1" x14ac:dyDescent="0.25">
      <c r="A50" s="409" t="s">
        <v>245</v>
      </c>
      <c r="B50" s="410"/>
      <c r="C50" s="411"/>
      <c r="D50" s="412"/>
      <c r="E50" s="413" t="s">
        <v>2</v>
      </c>
      <c r="F50" s="411" t="s">
        <v>3</v>
      </c>
      <c r="G50" s="410" t="s">
        <v>1</v>
      </c>
      <c r="H50" s="414" t="s">
        <v>246</v>
      </c>
      <c r="I50" s="415" t="s">
        <v>6</v>
      </c>
    </row>
    <row r="51" spans="1:9" x14ac:dyDescent="0.2">
      <c r="A51" s="370"/>
      <c r="B51" s="416" t="s">
        <v>247</v>
      </c>
      <c r="C51" s="417"/>
      <c r="D51" s="418" t="s">
        <v>126</v>
      </c>
      <c r="E51" s="493">
        <v>0.05</v>
      </c>
      <c r="F51" s="433"/>
      <c r="G51" s="497">
        <v>1</v>
      </c>
      <c r="H51" s="498"/>
      <c r="I51" s="499">
        <f>PI()*E51*G51</f>
        <v>0.15707963267948966</v>
      </c>
    </row>
    <row r="52" spans="1:9" ht="13.5" thickBot="1" x14ac:dyDescent="0.25">
      <c r="A52" s="400"/>
      <c r="B52" s="401" t="s">
        <v>248</v>
      </c>
      <c r="C52" s="419"/>
      <c r="D52" s="420" t="s">
        <v>35</v>
      </c>
      <c r="E52" s="495">
        <v>0.65</v>
      </c>
      <c r="F52" s="465">
        <v>0.65</v>
      </c>
      <c r="G52" s="500">
        <v>1</v>
      </c>
      <c r="H52" s="501">
        <f>G52*E52*F52</f>
        <v>0.42250000000000004</v>
      </c>
      <c r="I52" s="502"/>
    </row>
    <row r="53" spans="1:9" x14ac:dyDescent="0.2">
      <c r="B53" s="241"/>
    </row>
    <row r="54" spans="1:9" x14ac:dyDescent="0.2">
      <c r="B54" s="241"/>
    </row>
    <row r="55" spans="1:9" x14ac:dyDescent="0.2">
      <c r="B55" s="241"/>
    </row>
    <row r="56" spans="1:9" x14ac:dyDescent="0.2">
      <c r="D56" s="503"/>
      <c r="F56" s="503"/>
    </row>
    <row r="57" spans="1:9" x14ac:dyDescent="0.2">
      <c r="D57" s="503"/>
      <c r="F57" s="503"/>
    </row>
    <row r="58" spans="1:9" x14ac:dyDescent="0.2">
      <c r="D58" s="503"/>
      <c r="F58" s="503"/>
    </row>
    <row r="59" spans="1:9" x14ac:dyDescent="0.2">
      <c r="D59" s="503"/>
      <c r="F59" s="503"/>
    </row>
    <row r="60" spans="1:9" x14ac:dyDescent="0.2">
      <c r="D60" s="503"/>
      <c r="F60" s="503"/>
    </row>
    <row r="61" spans="1:9" x14ac:dyDescent="0.2">
      <c r="D61" s="503"/>
      <c r="F61" s="503"/>
    </row>
    <row r="62" spans="1:9" x14ac:dyDescent="0.2">
      <c r="D62" s="503"/>
      <c r="F62" s="503"/>
    </row>
    <row r="63" spans="1:9" x14ac:dyDescent="0.2">
      <c r="D63" s="503"/>
      <c r="F63" s="503"/>
    </row>
    <row r="64" spans="1:9" x14ac:dyDescent="0.2">
      <c r="D64" s="503"/>
      <c r="F64" s="503"/>
    </row>
    <row r="65" spans="2:6" x14ac:dyDescent="0.2">
      <c r="D65" s="503"/>
      <c r="F65" s="503"/>
    </row>
    <row r="66" spans="2:6" x14ac:dyDescent="0.2">
      <c r="D66" s="503"/>
      <c r="F66" s="503"/>
    </row>
    <row r="67" spans="2:6" x14ac:dyDescent="0.2">
      <c r="D67" s="503"/>
      <c r="F67" s="503"/>
    </row>
    <row r="68" spans="2:6" x14ac:dyDescent="0.2">
      <c r="B68" s="241"/>
    </row>
    <row r="69" spans="2:6" x14ac:dyDescent="0.2">
      <c r="B69" s="241"/>
    </row>
    <row r="70" spans="2:6" x14ac:dyDescent="0.2">
      <c r="B70" s="241"/>
    </row>
    <row r="71" spans="2:6" x14ac:dyDescent="0.2">
      <c r="B71" s="241"/>
    </row>
    <row r="72" spans="2:6" x14ac:dyDescent="0.2">
      <c r="B72" s="241"/>
    </row>
    <row r="73" spans="2:6" x14ac:dyDescent="0.2">
      <c r="B73" s="241"/>
    </row>
    <row r="74" spans="2:6" x14ac:dyDescent="0.2">
      <c r="B74" s="241"/>
    </row>
    <row r="75" spans="2:6" x14ac:dyDescent="0.2">
      <c r="B75" s="241"/>
    </row>
    <row r="76" spans="2:6" x14ac:dyDescent="0.2">
      <c r="B76" s="241"/>
    </row>
    <row r="77" spans="2:6" x14ac:dyDescent="0.2">
      <c r="B77" s="241"/>
    </row>
    <row r="78" spans="2:6" x14ac:dyDescent="0.2">
      <c r="B78" s="241"/>
    </row>
    <row r="79" spans="2:6" x14ac:dyDescent="0.2">
      <c r="B79" s="241"/>
    </row>
    <row r="80" spans="2:6" x14ac:dyDescent="0.2">
      <c r="B80" s="241"/>
    </row>
    <row r="81" s="241" customFormat="1" x14ac:dyDescent="0.2"/>
    <row r="82" s="241" customFormat="1" x14ac:dyDescent="0.2"/>
    <row r="83" s="241" customFormat="1" x14ac:dyDescent="0.2"/>
    <row r="84" s="241" customFormat="1" x14ac:dyDescent="0.2"/>
  </sheetData>
  <mergeCells count="7">
    <mergeCell ref="J14:J17"/>
    <mergeCell ref="K44:L44"/>
    <mergeCell ref="M2:N2"/>
    <mergeCell ref="M13:N13"/>
    <mergeCell ref="M19:N19"/>
    <mergeCell ref="K23:L23"/>
    <mergeCell ref="K26:L26"/>
  </mergeCells>
  <conditionalFormatting sqref="K45:L46 K24:L24 K27:L27 K42:L42 K29:L31">
    <cfRule type="cellIs" dxfId="12" priority="15" operator="equal">
      <formula>0</formula>
    </cfRule>
  </conditionalFormatting>
  <conditionalFormatting sqref="K28:L28">
    <cfRule type="cellIs" dxfId="11" priority="14" operator="equal">
      <formula>0</formula>
    </cfRule>
  </conditionalFormatting>
  <conditionalFormatting sqref="K32:L33">
    <cfRule type="cellIs" dxfId="10" priority="13" operator="equal">
      <formula>0</formula>
    </cfRule>
  </conditionalFormatting>
  <conditionalFormatting sqref="K34:L35">
    <cfRule type="cellIs" dxfId="9" priority="12" operator="equal">
      <formula>0</formula>
    </cfRule>
  </conditionalFormatting>
  <conditionalFormatting sqref="K36:L37">
    <cfRule type="cellIs" dxfId="8" priority="11" operator="equal">
      <formula>0</formula>
    </cfRule>
  </conditionalFormatting>
  <conditionalFormatting sqref="K38:L39">
    <cfRule type="cellIs" dxfId="7" priority="10" operator="equal">
      <formula>0</formula>
    </cfRule>
  </conditionalFormatting>
  <conditionalFormatting sqref="K40:L41">
    <cfRule type="cellIs" dxfId="6" priority="9" operator="equal">
      <formula>0</formula>
    </cfRule>
  </conditionalFormatting>
  <conditionalFormatting sqref="K43:L43">
    <cfRule type="cellIs" dxfId="5" priority="8" operator="equal">
      <formula>0</formula>
    </cfRule>
  </conditionalFormatting>
  <conditionalFormatting sqref="K48:L48">
    <cfRule type="cellIs" dxfId="4" priority="6" operator="equal">
      <formula>0</formula>
    </cfRule>
  </conditionalFormatting>
  <conditionalFormatting sqref="K47:L47">
    <cfRule type="cellIs" dxfId="3" priority="5" operator="equal">
      <formula>0</formula>
    </cfRule>
  </conditionalFormatting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3"/>
  <sheetViews>
    <sheetView showGridLines="0" zoomScale="85" zoomScaleNormal="85" workbookViewId="0">
      <selection activeCell="C32" sqref="C32"/>
    </sheetView>
  </sheetViews>
  <sheetFormatPr defaultRowHeight="15" x14ac:dyDescent="0.25"/>
  <cols>
    <col min="1" max="1" width="7.85546875" style="15" customWidth="1"/>
    <col min="2" max="2" width="44.85546875" style="32" bestFit="1" customWidth="1"/>
    <col min="3" max="3" width="13.85546875" bestFit="1" customWidth="1"/>
    <col min="4" max="4" width="5.42578125" bestFit="1" customWidth="1"/>
    <col min="5" max="5" width="8.5703125" bestFit="1" customWidth="1"/>
    <col min="6" max="6" width="7.28515625" bestFit="1" customWidth="1"/>
    <col min="7" max="7" width="7.42578125" bestFit="1" customWidth="1"/>
    <col min="8" max="8" width="2.7109375" customWidth="1"/>
    <col min="9" max="9" width="12.42578125" bestFit="1" customWidth="1"/>
    <col min="10" max="10" width="7.85546875" bestFit="1" customWidth="1"/>
    <col min="11" max="11" width="9.5703125" bestFit="1" customWidth="1"/>
    <col min="12" max="12" width="5.7109375" bestFit="1" customWidth="1"/>
    <col min="13" max="13" width="25.140625" bestFit="1" customWidth="1"/>
    <col min="14" max="14" width="4.5703125" bestFit="1" customWidth="1"/>
    <col min="15" max="15" width="7" bestFit="1" customWidth="1"/>
    <col min="16" max="16" width="44.140625" bestFit="1" customWidth="1"/>
    <col min="17" max="17" width="8.28515625" bestFit="1" customWidth="1"/>
    <col min="18" max="18" width="2.5703125" bestFit="1" customWidth="1"/>
    <col min="19" max="35" width="4.7109375" bestFit="1" customWidth="1"/>
    <col min="36" max="36" width="8.42578125" bestFit="1" customWidth="1"/>
    <col min="37" max="37" width="5.7109375" bestFit="1" customWidth="1"/>
    <col min="38" max="38" width="1.28515625" customWidth="1"/>
    <col min="39" max="39" width="9.140625" bestFit="1" customWidth="1"/>
    <col min="40" max="40" width="4.7109375" bestFit="1" customWidth="1"/>
    <col min="41" max="41" width="3.7109375" bestFit="1" customWidth="1"/>
    <col min="42" max="42" width="1.28515625" customWidth="1"/>
    <col min="43" max="43" width="5.7109375" bestFit="1" customWidth="1"/>
  </cols>
  <sheetData>
    <row r="1" spans="1:43" ht="15.75" thickBot="1" x14ac:dyDescent="0.3">
      <c r="B1" s="5"/>
    </row>
    <row r="2" spans="1:43" ht="15.75" thickBot="1" x14ac:dyDescent="0.3">
      <c r="A2" s="16" t="s">
        <v>120</v>
      </c>
      <c r="B2" s="17"/>
      <c r="C2" s="18"/>
      <c r="D2" s="19"/>
      <c r="E2" s="20" t="s">
        <v>121</v>
      </c>
      <c r="F2" s="21" t="s">
        <v>122</v>
      </c>
      <c r="G2" s="67" t="s">
        <v>123</v>
      </c>
      <c r="L2" s="506" t="s">
        <v>124</v>
      </c>
      <c r="M2" s="507"/>
      <c r="O2" s="16" t="s">
        <v>181</v>
      </c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8"/>
      <c r="AH2" s="18"/>
      <c r="AI2" s="18"/>
      <c r="AJ2" s="33" t="s">
        <v>182</v>
      </c>
      <c r="AK2" s="68" t="s">
        <v>123</v>
      </c>
      <c r="AM2" s="33" t="s">
        <v>36</v>
      </c>
      <c r="AN2" s="508" t="s">
        <v>131</v>
      </c>
      <c r="AO2" s="509"/>
      <c r="AQ2" s="34" t="s">
        <v>124</v>
      </c>
    </row>
    <row r="3" spans="1:43" ht="15.75" thickBot="1" x14ac:dyDescent="0.3">
      <c r="A3" s="23"/>
      <c r="B3" s="24" t="s">
        <v>183</v>
      </c>
      <c r="C3" s="25" t="s">
        <v>253</v>
      </c>
      <c r="D3" s="26" t="s">
        <v>126</v>
      </c>
      <c r="E3" s="27">
        <f>E9</f>
        <v>4.8369</v>
      </c>
      <c r="F3" s="28">
        <f>F9</f>
        <v>6.6381999999999994</v>
      </c>
      <c r="G3" s="29">
        <f>SUM(E3:F3)*(1+L3)</f>
        <v>12.62261</v>
      </c>
      <c r="L3" s="30" t="s">
        <v>127</v>
      </c>
      <c r="M3" s="31" t="s">
        <v>128</v>
      </c>
      <c r="O3" s="69" t="s">
        <v>184</v>
      </c>
      <c r="P3" s="70" t="s">
        <v>185</v>
      </c>
      <c r="Q3" s="71" t="s">
        <v>186</v>
      </c>
      <c r="R3" s="113" t="s">
        <v>126</v>
      </c>
      <c r="S3" s="72"/>
      <c r="T3" s="73"/>
      <c r="U3" s="73"/>
      <c r="V3" s="73"/>
      <c r="W3" s="73"/>
      <c r="X3" s="73"/>
      <c r="Y3" s="73"/>
      <c r="Z3" s="73"/>
      <c r="AA3" s="73"/>
      <c r="AB3" s="73"/>
      <c r="AC3" s="73"/>
      <c r="AD3" s="73"/>
      <c r="AE3" s="73"/>
      <c r="AF3" s="73"/>
      <c r="AG3" s="73"/>
      <c r="AH3" s="73"/>
      <c r="AI3" s="73"/>
      <c r="AJ3" s="74">
        <f>AJ6+AJ4</f>
        <v>15.670000000000002</v>
      </c>
      <c r="AK3" s="75">
        <f>AJ3+AJ16+AJ12+AJ8</f>
        <v>58.206700000000012</v>
      </c>
      <c r="AM3" s="76">
        <f>AM4+AM6</f>
        <v>16.54</v>
      </c>
      <c r="AN3" s="73">
        <f>AM3-AJ3</f>
        <v>0.86999999999999744</v>
      </c>
      <c r="AO3" s="77">
        <f>AN3/AM3</f>
        <v>5.2599758162031288E-2</v>
      </c>
      <c r="AQ3" s="78"/>
    </row>
    <row r="4" spans="1:43" ht="15.75" thickBot="1" x14ac:dyDescent="0.3">
      <c r="B4" s="5"/>
      <c r="O4" s="44"/>
      <c r="P4" s="45" t="s">
        <v>187</v>
      </c>
      <c r="Q4" s="46"/>
      <c r="R4" s="114"/>
      <c r="S4" s="82">
        <v>0.15</v>
      </c>
      <c r="T4" s="59">
        <v>0.54</v>
      </c>
      <c r="U4" s="80">
        <v>2.5000000000000001E-2</v>
      </c>
      <c r="V4" s="59">
        <v>0.05</v>
      </c>
      <c r="W4" s="80">
        <v>2.5000000000000001E-2</v>
      </c>
      <c r="X4" s="59">
        <v>1.63</v>
      </c>
      <c r="Y4" s="80">
        <v>2.5000000000000001E-2</v>
      </c>
      <c r="Z4" s="59">
        <v>1.1299999999999999</v>
      </c>
      <c r="AA4" s="79">
        <v>0.05</v>
      </c>
      <c r="AB4" s="59">
        <v>1.67</v>
      </c>
      <c r="AC4" s="79">
        <v>0.05</v>
      </c>
      <c r="AD4" s="59">
        <v>1.0900000000000001</v>
      </c>
      <c r="AE4" s="82">
        <v>0.15</v>
      </c>
      <c r="AF4" s="81"/>
      <c r="AG4" s="81"/>
      <c r="AH4" s="81"/>
      <c r="AI4" s="81"/>
      <c r="AJ4" s="83">
        <f>SUM(S4:AI5)</f>
        <v>7.8350000000000009</v>
      </c>
      <c r="AK4" s="84"/>
      <c r="AM4" s="66">
        <v>8.27</v>
      </c>
      <c r="AN4" s="59">
        <f>AM4-AJ4</f>
        <v>0.43499999999999872</v>
      </c>
      <c r="AO4" s="51">
        <f>AN4/AM4</f>
        <v>5.2599758162031288E-2</v>
      </c>
      <c r="AQ4" s="43"/>
    </row>
    <row r="5" spans="1:43" ht="15.75" thickBot="1" x14ac:dyDescent="0.3">
      <c r="A5" s="16" t="s">
        <v>129</v>
      </c>
      <c r="B5" s="17"/>
      <c r="C5" s="18"/>
      <c r="D5" s="19"/>
      <c r="E5" s="20" t="s">
        <v>121</v>
      </c>
      <c r="F5" s="21" t="s">
        <v>122</v>
      </c>
      <c r="G5" s="67" t="s">
        <v>123</v>
      </c>
      <c r="L5" s="506" t="s">
        <v>124</v>
      </c>
      <c r="M5" s="507"/>
      <c r="O5" s="44"/>
      <c r="P5" s="45"/>
      <c r="Q5" s="46"/>
      <c r="R5" s="114"/>
      <c r="S5" s="59"/>
      <c r="T5" s="59"/>
      <c r="U5" s="59"/>
      <c r="V5" s="59"/>
      <c r="W5" s="59"/>
      <c r="X5" s="59"/>
      <c r="Y5" s="59"/>
      <c r="Z5" s="59"/>
      <c r="AA5" s="59">
        <v>1.1000000000000001</v>
      </c>
      <c r="AB5" s="82">
        <v>0.15</v>
      </c>
      <c r="AC5" s="59"/>
      <c r="AD5" s="59"/>
      <c r="AE5" s="59"/>
      <c r="AF5" s="59"/>
      <c r="AG5" s="59"/>
      <c r="AH5" s="59"/>
      <c r="AI5" s="59"/>
      <c r="AJ5" s="83"/>
      <c r="AK5" s="84"/>
      <c r="AM5" s="66"/>
      <c r="AN5" s="59"/>
      <c r="AO5" s="51"/>
      <c r="AQ5" s="43"/>
    </row>
    <row r="6" spans="1:43" ht="15.75" thickBot="1" x14ac:dyDescent="0.3">
      <c r="A6" s="23"/>
      <c r="B6" s="24"/>
      <c r="C6" s="25" t="s">
        <v>253</v>
      </c>
      <c r="D6" s="26" t="s">
        <v>126</v>
      </c>
      <c r="E6" s="27">
        <f>E9</f>
        <v>4.8369</v>
      </c>
      <c r="F6" s="28">
        <f>F9</f>
        <v>6.6381999999999994</v>
      </c>
      <c r="G6" s="29">
        <f>SUM(E6:F6)*(1+L6)</f>
        <v>12.62261</v>
      </c>
      <c r="L6" s="30" t="s">
        <v>127</v>
      </c>
      <c r="M6" s="31" t="s">
        <v>128</v>
      </c>
      <c r="O6" s="117"/>
      <c r="P6" s="118" t="s">
        <v>188</v>
      </c>
      <c r="Q6" s="119"/>
      <c r="R6" s="120"/>
      <c r="S6" s="82">
        <v>0.15</v>
      </c>
      <c r="T6" s="123">
        <v>0.54</v>
      </c>
      <c r="U6" s="124">
        <v>2.5000000000000001E-2</v>
      </c>
      <c r="V6" s="123">
        <v>0.05</v>
      </c>
      <c r="W6" s="124">
        <v>2.5000000000000001E-2</v>
      </c>
      <c r="X6" s="123">
        <v>1.63</v>
      </c>
      <c r="Y6" s="124">
        <v>2.5000000000000001E-2</v>
      </c>
      <c r="Z6" s="59">
        <v>1.1299999999999999</v>
      </c>
      <c r="AA6" s="79">
        <v>0.05</v>
      </c>
      <c r="AB6" s="123">
        <v>1.67</v>
      </c>
      <c r="AC6" s="79">
        <v>0.05</v>
      </c>
      <c r="AD6" s="59">
        <v>1.0900000000000001</v>
      </c>
      <c r="AE6" s="82">
        <v>0.15</v>
      </c>
      <c r="AF6" s="59"/>
      <c r="AG6" s="59"/>
      <c r="AH6" s="126"/>
      <c r="AI6" s="126"/>
      <c r="AJ6" s="121">
        <f>SUM(S6:AI7)</f>
        <v>7.8350000000000009</v>
      </c>
      <c r="AK6" s="122"/>
      <c r="AM6" s="66">
        <v>8.27</v>
      </c>
      <c r="AN6" s="59">
        <f>AM6-AJ6</f>
        <v>0.43499999999999872</v>
      </c>
      <c r="AO6" s="51">
        <f>AN6/AM6</f>
        <v>5.2599758162031288E-2</v>
      </c>
      <c r="AQ6" s="43"/>
    </row>
    <row r="7" spans="1:43" ht="15.75" thickBot="1" x14ac:dyDescent="0.3">
      <c r="O7" s="85"/>
      <c r="P7" s="86"/>
      <c r="Q7" s="87"/>
      <c r="R7" s="115"/>
      <c r="S7" s="127"/>
      <c r="T7" s="127"/>
      <c r="U7" s="127"/>
      <c r="V7" s="127"/>
      <c r="W7" s="127"/>
      <c r="X7" s="127"/>
      <c r="Y7" s="127"/>
      <c r="Z7" s="127"/>
      <c r="AA7" s="130">
        <v>1.1000000000000001</v>
      </c>
      <c r="AB7" s="131">
        <v>0.15</v>
      </c>
      <c r="AC7" s="130"/>
      <c r="AD7" s="127"/>
      <c r="AE7" s="127"/>
      <c r="AF7" s="127"/>
      <c r="AG7" s="127"/>
      <c r="AH7" s="127"/>
      <c r="AI7" s="127"/>
      <c r="AJ7" s="88"/>
      <c r="AK7" s="89"/>
      <c r="AM7" s="90"/>
      <c r="AN7" s="91"/>
      <c r="AO7" s="92"/>
      <c r="AQ7" s="43"/>
    </row>
    <row r="8" spans="1:43" ht="16.5" thickTop="1" thickBot="1" x14ac:dyDescent="0.3">
      <c r="A8" s="16" t="s">
        <v>193</v>
      </c>
      <c r="B8" s="17"/>
      <c r="C8" s="18"/>
      <c r="D8" s="19"/>
      <c r="E8" s="21" t="s">
        <v>121</v>
      </c>
      <c r="F8" s="21" t="s">
        <v>122</v>
      </c>
      <c r="G8" s="67" t="s">
        <v>123</v>
      </c>
      <c r="I8" s="33" t="s">
        <v>36</v>
      </c>
      <c r="J8" s="508" t="s">
        <v>131</v>
      </c>
      <c r="K8" s="509"/>
      <c r="M8" s="34" t="s">
        <v>124</v>
      </c>
      <c r="O8" s="44"/>
      <c r="P8" s="45" t="s">
        <v>189</v>
      </c>
      <c r="Q8" s="46"/>
      <c r="R8" s="114"/>
      <c r="S8" s="82">
        <v>0.15</v>
      </c>
      <c r="T8" s="59">
        <v>0.54</v>
      </c>
      <c r="U8" s="80">
        <v>2.5000000000000001E-2</v>
      </c>
      <c r="V8" s="59">
        <v>0.05</v>
      </c>
      <c r="W8" s="80">
        <v>2.5000000000000001E-2</v>
      </c>
      <c r="X8" s="59">
        <v>1.63</v>
      </c>
      <c r="Y8" s="80">
        <v>2.5000000000000001E-2</v>
      </c>
      <c r="Z8" s="59">
        <v>1.1299999999999999</v>
      </c>
      <c r="AA8" s="79">
        <v>0.05</v>
      </c>
      <c r="AB8" s="59">
        <v>1.67</v>
      </c>
      <c r="AC8" s="79">
        <v>0.05</v>
      </c>
      <c r="AD8" s="59">
        <v>0.44</v>
      </c>
      <c r="AE8" s="80">
        <v>2.5000000000000001E-2</v>
      </c>
      <c r="AF8" s="81">
        <v>1.47</v>
      </c>
      <c r="AG8" s="80">
        <v>2.5000000000000001E-2</v>
      </c>
      <c r="AH8" s="81">
        <v>0.13</v>
      </c>
      <c r="AI8" s="82">
        <v>0.15</v>
      </c>
      <c r="AJ8" s="93">
        <f>SUM(S8:AI11)</f>
        <v>17.710000000000004</v>
      </c>
      <c r="AK8" s="94"/>
      <c r="AM8" s="65">
        <v>18.760000000000002</v>
      </c>
      <c r="AN8" s="73">
        <f>AM8-AJ8</f>
        <v>1.0499999999999972</v>
      </c>
      <c r="AO8" s="77">
        <f>AN8/AM8</f>
        <v>5.5970149253731186E-2</v>
      </c>
      <c r="AQ8" s="43"/>
    </row>
    <row r="9" spans="1:43" ht="15.75" thickBot="1" x14ac:dyDescent="0.3">
      <c r="A9" s="35" t="s">
        <v>194</v>
      </c>
      <c r="B9" s="36" t="s">
        <v>195</v>
      </c>
      <c r="C9" s="37" t="s">
        <v>196</v>
      </c>
      <c r="D9" s="38" t="s">
        <v>126</v>
      </c>
      <c r="E9" s="57">
        <f>1.67+1.0883+0.4333+1.4667+0.1286+(0.025*2)</f>
        <v>4.8369</v>
      </c>
      <c r="F9" s="57">
        <f>0.5343+0.0484+1.6295+1.1283+1.095+0.4443+0.1667+1.4667+(0.025*5)</f>
        <v>6.6381999999999994</v>
      </c>
      <c r="G9" s="58">
        <f>SUM(E9:F9)</f>
        <v>11.475099999999999</v>
      </c>
      <c r="I9" s="65">
        <v>11.53</v>
      </c>
      <c r="J9" s="57">
        <f>I9-G9</f>
        <v>5.4899999999999949E-2</v>
      </c>
      <c r="K9" s="100">
        <f>J9/I9</f>
        <v>4.7614917606244537E-3</v>
      </c>
      <c r="M9" s="43"/>
      <c r="O9" s="44"/>
      <c r="P9" s="45"/>
      <c r="Q9" s="46"/>
      <c r="R9" s="114"/>
      <c r="S9" s="59"/>
      <c r="T9" s="59"/>
      <c r="U9" s="59"/>
      <c r="V9" s="59"/>
      <c r="W9" s="59"/>
      <c r="X9" s="59"/>
      <c r="Y9" s="59"/>
      <c r="Z9" s="59"/>
      <c r="AA9" s="59">
        <v>0.45</v>
      </c>
      <c r="AB9" s="124">
        <v>2.5000000000000001E-2</v>
      </c>
      <c r="AC9" s="59">
        <v>0.17</v>
      </c>
      <c r="AD9" s="124">
        <v>2.5000000000000001E-2</v>
      </c>
      <c r="AE9" s="59">
        <v>1.47</v>
      </c>
      <c r="AF9" s="125">
        <v>0.15</v>
      </c>
      <c r="AG9" s="59"/>
      <c r="AH9" s="59"/>
      <c r="AI9" s="59"/>
      <c r="AJ9" s="93"/>
      <c r="AK9" s="94"/>
      <c r="AM9" s="66"/>
      <c r="AN9" s="59"/>
      <c r="AO9" s="51"/>
      <c r="AQ9" s="43"/>
    </row>
    <row r="10" spans="1:43" ht="15.75" thickBot="1" x14ac:dyDescent="0.3">
      <c r="A10" s="16" t="s">
        <v>197</v>
      </c>
      <c r="B10" s="17"/>
      <c r="C10" s="18"/>
      <c r="D10" s="19"/>
      <c r="E10" s="21" t="s">
        <v>121</v>
      </c>
      <c r="F10" s="21" t="s">
        <v>122</v>
      </c>
      <c r="G10" s="67" t="s">
        <v>123</v>
      </c>
      <c r="I10" s="33" t="s">
        <v>36</v>
      </c>
      <c r="J10" s="508" t="s">
        <v>131</v>
      </c>
      <c r="K10" s="509"/>
      <c r="M10" s="34" t="s">
        <v>124</v>
      </c>
      <c r="O10" s="117"/>
      <c r="P10" s="118" t="s">
        <v>190</v>
      </c>
      <c r="Q10" s="119"/>
      <c r="R10" s="120"/>
      <c r="S10" s="82">
        <v>0.15</v>
      </c>
      <c r="T10" s="123">
        <v>0.54</v>
      </c>
      <c r="U10" s="124">
        <v>2.5000000000000001E-2</v>
      </c>
      <c r="V10" s="123">
        <v>0.05</v>
      </c>
      <c r="W10" s="124">
        <v>2.5000000000000001E-2</v>
      </c>
      <c r="X10" s="123">
        <v>1.63</v>
      </c>
      <c r="Y10" s="124">
        <v>2.5000000000000001E-2</v>
      </c>
      <c r="Z10" s="59">
        <v>1.1299999999999999</v>
      </c>
      <c r="AA10" s="79">
        <v>0.05</v>
      </c>
      <c r="AB10" s="123">
        <v>1.67</v>
      </c>
      <c r="AC10" s="79">
        <v>0.05</v>
      </c>
      <c r="AD10" s="59">
        <v>1.0900000000000001</v>
      </c>
      <c r="AE10" s="82">
        <v>0.15</v>
      </c>
      <c r="AF10" s="123"/>
      <c r="AG10" s="59"/>
      <c r="AH10" s="126"/>
      <c r="AI10" s="126"/>
      <c r="AJ10" s="93"/>
      <c r="AK10" s="94"/>
      <c r="AM10" s="66"/>
      <c r="AN10" s="59"/>
      <c r="AO10" s="51"/>
      <c r="AQ10" s="43"/>
    </row>
    <row r="11" spans="1:43" ht="15.75" thickBot="1" x14ac:dyDescent="0.3">
      <c r="A11" s="35" t="s">
        <v>154</v>
      </c>
      <c r="B11" s="36" t="s">
        <v>198</v>
      </c>
      <c r="C11" s="37" t="s">
        <v>203</v>
      </c>
      <c r="D11" s="38" t="s">
        <v>1</v>
      </c>
      <c r="E11" s="39">
        <v>3</v>
      </c>
      <c r="F11" s="39">
        <v>3</v>
      </c>
      <c r="G11" s="40">
        <f>SUM(E11:F11)</f>
        <v>6</v>
      </c>
      <c r="I11" s="41">
        <v>6</v>
      </c>
      <c r="J11" s="39">
        <f t="shared" ref="J11:J12" si="0">I11-G11</f>
        <v>0</v>
      </c>
      <c r="K11" s="100">
        <f t="shared" ref="K11:K12" si="1">J11/I11</f>
        <v>0</v>
      </c>
      <c r="M11" s="43"/>
      <c r="O11" s="85"/>
      <c r="P11" s="86"/>
      <c r="Q11" s="87"/>
      <c r="R11" s="115"/>
      <c r="S11" s="127"/>
      <c r="T11" s="127"/>
      <c r="U11" s="127"/>
      <c r="V11" s="127"/>
      <c r="W11" s="127"/>
      <c r="X11" s="127"/>
      <c r="Y11" s="127"/>
      <c r="Z11" s="127"/>
      <c r="AA11" s="130">
        <v>1.1000000000000001</v>
      </c>
      <c r="AB11" s="131">
        <v>0.15</v>
      </c>
      <c r="AC11" s="130"/>
      <c r="AD11" s="127"/>
      <c r="AE11" s="127"/>
      <c r="AF11" s="127"/>
      <c r="AG11" s="127"/>
      <c r="AH11" s="127"/>
      <c r="AI11" s="127"/>
      <c r="AJ11" s="95"/>
      <c r="AK11" s="96"/>
      <c r="AM11" s="97"/>
      <c r="AN11" s="98"/>
      <c r="AO11" s="99"/>
      <c r="AQ11" s="43"/>
    </row>
    <row r="12" spans="1:43" ht="15.75" thickTop="1" x14ac:dyDescent="0.25">
      <c r="A12" s="44" t="s">
        <v>159</v>
      </c>
      <c r="B12" s="45" t="s">
        <v>200</v>
      </c>
      <c r="C12" s="46" t="s">
        <v>254</v>
      </c>
      <c r="D12" s="47" t="s">
        <v>1</v>
      </c>
      <c r="E12" s="48">
        <v>1</v>
      </c>
      <c r="F12" s="48">
        <v>1</v>
      </c>
      <c r="G12" s="49">
        <f>SUM(E12:F12)</f>
        <v>2</v>
      </c>
      <c r="I12" s="50">
        <v>2</v>
      </c>
      <c r="J12" s="48">
        <f t="shared" si="0"/>
        <v>0</v>
      </c>
      <c r="K12" s="109">
        <f t="shared" si="1"/>
        <v>0</v>
      </c>
      <c r="M12" s="43"/>
      <c r="O12" s="44"/>
      <c r="P12" s="45" t="s">
        <v>191</v>
      </c>
      <c r="Q12" s="46"/>
      <c r="R12" s="114"/>
      <c r="S12" s="82">
        <v>0.15</v>
      </c>
      <c r="T12" s="59">
        <v>0.54</v>
      </c>
      <c r="U12" s="80">
        <v>2.5000000000000001E-2</v>
      </c>
      <c r="V12" s="59">
        <v>0.05</v>
      </c>
      <c r="W12" s="80">
        <v>2.5000000000000001E-2</v>
      </c>
      <c r="X12" s="59">
        <v>1.63</v>
      </c>
      <c r="Y12" s="80">
        <v>2.5000000000000001E-2</v>
      </c>
      <c r="Z12" s="59">
        <v>1.1299999999999999</v>
      </c>
      <c r="AA12" s="79">
        <v>0.05</v>
      </c>
      <c r="AB12" s="59">
        <v>1.67</v>
      </c>
      <c r="AC12" s="79">
        <v>0.05</v>
      </c>
      <c r="AD12" s="59">
        <v>0.44</v>
      </c>
      <c r="AE12" s="80">
        <v>2.5000000000000001E-2</v>
      </c>
      <c r="AF12" s="81">
        <v>1.47</v>
      </c>
      <c r="AG12" s="80">
        <v>2.5000000000000001E-2</v>
      </c>
      <c r="AH12" s="81">
        <v>0.13</v>
      </c>
      <c r="AI12" s="82">
        <v>0.15</v>
      </c>
      <c r="AJ12" s="83">
        <f>SUM(S12:AI15)</f>
        <v>17.706700000000005</v>
      </c>
      <c r="AK12" s="84"/>
      <c r="AM12" s="65">
        <v>18.760000000000002</v>
      </c>
      <c r="AN12" s="57">
        <f>AM12-AJ12</f>
        <v>1.0532999999999966</v>
      </c>
      <c r="AO12" s="42">
        <f>AN12/AM12</f>
        <v>5.6146055437100023E-2</v>
      </c>
      <c r="AQ12" s="43"/>
    </row>
    <row r="13" spans="1:43" ht="15.75" thickBot="1" x14ac:dyDescent="0.3">
      <c r="A13" s="35" t="s">
        <v>160</v>
      </c>
      <c r="B13" s="36" t="s">
        <v>207</v>
      </c>
      <c r="C13" s="37" t="s">
        <v>203</v>
      </c>
      <c r="D13" s="38" t="s">
        <v>1</v>
      </c>
      <c r="E13" s="39">
        <v>1</v>
      </c>
      <c r="F13" s="39">
        <v>1</v>
      </c>
      <c r="G13" s="40">
        <f>SUM(E13:F13)</f>
        <v>2</v>
      </c>
      <c r="I13" s="41">
        <v>2</v>
      </c>
      <c r="J13" s="39">
        <f t="shared" ref="J13" si="2">I13-G13</f>
        <v>0</v>
      </c>
      <c r="K13" s="100">
        <f t="shared" ref="K13" si="3">J13/I13</f>
        <v>0</v>
      </c>
      <c r="M13" s="43"/>
      <c r="O13" s="44"/>
      <c r="P13" s="45"/>
      <c r="Q13" s="46"/>
      <c r="R13" s="114"/>
      <c r="S13" s="59"/>
      <c r="T13" s="59"/>
      <c r="U13" s="59"/>
      <c r="V13" s="59"/>
      <c r="W13" s="59"/>
      <c r="X13" s="59"/>
      <c r="Y13" s="59"/>
      <c r="Z13" s="59"/>
      <c r="AA13" s="59">
        <v>0.45</v>
      </c>
      <c r="AB13" s="124">
        <v>2.5000000000000001E-2</v>
      </c>
      <c r="AC13" s="59">
        <v>0.16669999999999999</v>
      </c>
      <c r="AD13" s="124">
        <v>2.5000000000000001E-2</v>
      </c>
      <c r="AE13" s="59">
        <v>1.47</v>
      </c>
      <c r="AF13" s="125">
        <v>0.15</v>
      </c>
      <c r="AG13" s="59"/>
      <c r="AH13" s="59"/>
      <c r="AI13" s="59"/>
      <c r="AJ13" s="83"/>
      <c r="AK13" s="84"/>
      <c r="AM13" s="66"/>
      <c r="AN13" s="59"/>
      <c r="AO13" s="51"/>
      <c r="AQ13" s="43"/>
    </row>
    <row r="14" spans="1:43" ht="15.75" thickBot="1" x14ac:dyDescent="0.3">
      <c r="A14" s="16" t="s">
        <v>199</v>
      </c>
      <c r="B14" s="17"/>
      <c r="C14" s="18"/>
      <c r="D14" s="19"/>
      <c r="E14" s="21" t="s">
        <v>121</v>
      </c>
      <c r="F14" s="21" t="s">
        <v>122</v>
      </c>
      <c r="G14" s="67" t="s">
        <v>123</v>
      </c>
      <c r="I14" s="33" t="s">
        <v>36</v>
      </c>
      <c r="J14" s="508" t="s">
        <v>131</v>
      </c>
      <c r="K14" s="509"/>
      <c r="M14" s="34" t="s">
        <v>124</v>
      </c>
      <c r="O14" s="117"/>
      <c r="P14" s="118" t="s">
        <v>192</v>
      </c>
      <c r="Q14" s="119"/>
      <c r="R14" s="120"/>
      <c r="S14" s="82">
        <v>0.15</v>
      </c>
      <c r="T14" s="123">
        <v>0.54</v>
      </c>
      <c r="U14" s="124">
        <v>2.5000000000000001E-2</v>
      </c>
      <c r="V14" s="123">
        <v>0.05</v>
      </c>
      <c r="W14" s="124">
        <v>2.5000000000000001E-2</v>
      </c>
      <c r="X14" s="123">
        <v>1.63</v>
      </c>
      <c r="Y14" s="124">
        <v>2.5000000000000001E-2</v>
      </c>
      <c r="Z14" s="59">
        <v>1.1299999999999999</v>
      </c>
      <c r="AA14" s="79">
        <v>0.05</v>
      </c>
      <c r="AB14" s="123">
        <v>1.67</v>
      </c>
      <c r="AC14" s="79">
        <v>0.05</v>
      </c>
      <c r="AD14" s="59">
        <v>1.0900000000000001</v>
      </c>
      <c r="AE14" s="82">
        <v>0.15</v>
      </c>
      <c r="AF14" s="123"/>
      <c r="AG14" s="59"/>
      <c r="AH14" s="126"/>
      <c r="AI14" s="126"/>
      <c r="AJ14" s="121"/>
      <c r="AK14" s="122"/>
      <c r="AM14" s="66"/>
      <c r="AN14" s="59"/>
      <c r="AO14" s="51"/>
      <c r="AQ14" s="43"/>
    </row>
    <row r="15" spans="1:43" ht="15.75" thickBot="1" x14ac:dyDescent="0.3">
      <c r="A15" s="23" t="s">
        <v>206</v>
      </c>
      <c r="B15" s="24" t="s">
        <v>201</v>
      </c>
      <c r="C15" s="25" t="s">
        <v>202</v>
      </c>
      <c r="D15" s="26" t="s">
        <v>1</v>
      </c>
      <c r="E15" s="62">
        <v>1</v>
      </c>
      <c r="F15" s="62">
        <v>1</v>
      </c>
      <c r="G15" s="63">
        <f>SUM(E15:F15)</f>
        <v>2</v>
      </c>
      <c r="I15" s="64">
        <v>2</v>
      </c>
      <c r="J15" s="62">
        <f>I15-G15</f>
        <v>0</v>
      </c>
      <c r="K15" s="53">
        <f>J15/I15</f>
        <v>0</v>
      </c>
      <c r="M15" s="54"/>
      <c r="O15" s="85"/>
      <c r="P15" s="86"/>
      <c r="Q15" s="87"/>
      <c r="R15" s="115"/>
      <c r="S15" s="127"/>
      <c r="T15" s="127"/>
      <c r="U15" s="127"/>
      <c r="V15" s="127"/>
      <c r="W15" s="127"/>
      <c r="X15" s="127"/>
      <c r="Y15" s="127"/>
      <c r="Z15" s="127"/>
      <c r="AA15" s="130">
        <v>1.1000000000000001</v>
      </c>
      <c r="AB15" s="131">
        <v>0.15</v>
      </c>
      <c r="AC15" s="130"/>
      <c r="AD15" s="127"/>
      <c r="AE15" s="127"/>
      <c r="AF15" s="127"/>
      <c r="AG15" s="127"/>
      <c r="AH15" s="127"/>
      <c r="AI15" s="127"/>
      <c r="AJ15" s="88"/>
      <c r="AK15" s="89"/>
      <c r="AM15" s="90"/>
      <c r="AN15" s="91"/>
      <c r="AO15" s="92"/>
      <c r="AQ15" s="43"/>
    </row>
    <row r="16" spans="1:43" x14ac:dyDescent="0.25">
      <c r="A16"/>
      <c r="B16"/>
      <c r="O16" s="44"/>
      <c r="P16" s="45" t="s">
        <v>204</v>
      </c>
      <c r="Q16" s="46"/>
      <c r="R16" s="114"/>
      <c r="S16" s="125">
        <v>0.15</v>
      </c>
      <c r="T16" s="59">
        <v>1.1000000000000001</v>
      </c>
      <c r="U16" s="79">
        <v>0.05</v>
      </c>
      <c r="V16" s="59">
        <v>0.45</v>
      </c>
      <c r="W16" s="80">
        <v>2.5000000000000001E-2</v>
      </c>
      <c r="X16" s="59">
        <v>0.17</v>
      </c>
      <c r="Y16" s="80">
        <v>2.5000000000000001E-2</v>
      </c>
      <c r="Z16" s="59">
        <v>1.47</v>
      </c>
      <c r="AA16" s="125">
        <v>0.15</v>
      </c>
      <c r="AB16" s="59"/>
      <c r="AC16" s="59"/>
      <c r="AD16" s="59"/>
      <c r="AE16" s="59"/>
      <c r="AF16" s="59"/>
      <c r="AG16" s="59"/>
      <c r="AH16" s="59"/>
      <c r="AI16" s="59"/>
      <c r="AJ16" s="93">
        <f>SUM(S16:AI17)</f>
        <v>7.12</v>
      </c>
      <c r="AK16" s="94"/>
      <c r="AM16" s="65">
        <v>7.23</v>
      </c>
      <c r="AN16" s="57">
        <f>AM16-AJ16</f>
        <v>0.11000000000000032</v>
      </c>
      <c r="AO16" s="42">
        <f>AN16/AM16</f>
        <v>1.5214384508990361E-2</v>
      </c>
      <c r="AQ16" s="43"/>
    </row>
    <row r="17" spans="1:43" ht="15.75" thickBot="1" x14ac:dyDescent="0.3">
      <c r="A17"/>
      <c r="B17"/>
      <c r="O17" s="101"/>
      <c r="P17" s="102" t="s">
        <v>205</v>
      </c>
      <c r="Q17" s="60"/>
      <c r="R17" s="116"/>
      <c r="S17" s="128">
        <v>0.15</v>
      </c>
      <c r="T17" s="61">
        <v>1.0900000000000001</v>
      </c>
      <c r="U17" s="129">
        <v>0.05</v>
      </c>
      <c r="V17" s="61">
        <v>0.44</v>
      </c>
      <c r="W17" s="103">
        <v>2.5000000000000001E-2</v>
      </c>
      <c r="X17" s="61">
        <v>1.47</v>
      </c>
      <c r="Y17" s="103">
        <v>2.5000000000000001E-2</v>
      </c>
      <c r="Z17" s="61">
        <v>0.13</v>
      </c>
      <c r="AA17" s="128">
        <v>0.15</v>
      </c>
      <c r="AB17" s="61"/>
      <c r="AC17" s="61"/>
      <c r="AD17" s="61"/>
      <c r="AE17" s="61"/>
      <c r="AF17" s="61"/>
      <c r="AG17" s="61"/>
      <c r="AH17" s="61"/>
      <c r="AI17" s="61"/>
      <c r="AJ17" s="104"/>
      <c r="AK17" s="105"/>
      <c r="AM17" s="106"/>
      <c r="AN17" s="107"/>
      <c r="AO17" s="108"/>
      <c r="AQ17" s="43"/>
    </row>
    <row r="18" spans="1:43" ht="15.75" thickBot="1" x14ac:dyDescent="0.3">
      <c r="A18"/>
      <c r="B18"/>
      <c r="AM18" s="110">
        <f>AM3+AM8+AM12+AM16</f>
        <v>61.290000000000006</v>
      </c>
      <c r="AN18" s="111">
        <f>AM18-AK3</f>
        <v>3.0832999999999942</v>
      </c>
      <c r="AO18" s="112">
        <f>AN18/AM18</f>
        <v>5.0306738456518091E-2</v>
      </c>
      <c r="AQ18" s="54"/>
    </row>
    <row r="19" spans="1:43" x14ac:dyDescent="0.25">
      <c r="A19"/>
      <c r="B19"/>
    </row>
    <row r="20" spans="1:43" x14ac:dyDescent="0.25">
      <c r="A20"/>
      <c r="B20"/>
    </row>
    <row r="21" spans="1:43" x14ac:dyDescent="0.25">
      <c r="A21"/>
      <c r="B21"/>
    </row>
    <row r="22" spans="1:43" x14ac:dyDescent="0.25">
      <c r="B22"/>
    </row>
    <row r="23" spans="1:43" x14ac:dyDescent="0.25">
      <c r="B23"/>
    </row>
    <row r="24" spans="1:43" x14ac:dyDescent="0.25">
      <c r="B24"/>
    </row>
    <row r="25" spans="1:43" x14ac:dyDescent="0.25">
      <c r="B25"/>
    </row>
    <row r="26" spans="1:43" x14ac:dyDescent="0.25">
      <c r="B26"/>
    </row>
    <row r="27" spans="1:43" x14ac:dyDescent="0.25">
      <c r="B27"/>
    </row>
    <row r="28" spans="1:43" x14ac:dyDescent="0.25">
      <c r="A28"/>
      <c r="B28"/>
    </row>
    <row r="29" spans="1:43" x14ac:dyDescent="0.25">
      <c r="A29"/>
      <c r="B29"/>
    </row>
    <row r="30" spans="1:43" x14ac:dyDescent="0.25">
      <c r="A30"/>
      <c r="B30"/>
    </row>
    <row r="31" spans="1:43" x14ac:dyDescent="0.25">
      <c r="A31"/>
      <c r="B31"/>
    </row>
    <row r="32" spans="1:43" x14ac:dyDescent="0.25">
      <c r="A32"/>
      <c r="B32"/>
    </row>
    <row r="33" spans="1:2" x14ac:dyDescent="0.25">
      <c r="A33"/>
      <c r="B33"/>
    </row>
    <row r="34" spans="1:2" x14ac:dyDescent="0.25">
      <c r="A34"/>
      <c r="B34"/>
    </row>
    <row r="35" spans="1:2" x14ac:dyDescent="0.25">
      <c r="A35"/>
      <c r="B35"/>
    </row>
    <row r="36" spans="1:2" x14ac:dyDescent="0.25">
      <c r="A36"/>
      <c r="B36"/>
    </row>
    <row r="37" spans="1:2" x14ac:dyDescent="0.25">
      <c r="A37"/>
      <c r="B37"/>
    </row>
    <row r="38" spans="1:2" x14ac:dyDescent="0.25">
      <c r="A38"/>
      <c r="B38"/>
    </row>
    <row r="39" spans="1:2" x14ac:dyDescent="0.25">
      <c r="A39"/>
      <c r="B39"/>
    </row>
    <row r="40" spans="1:2" x14ac:dyDescent="0.25">
      <c r="A40"/>
      <c r="B40"/>
    </row>
    <row r="41" spans="1:2" x14ac:dyDescent="0.25">
      <c r="A41"/>
      <c r="B41"/>
    </row>
    <row r="42" spans="1:2" x14ac:dyDescent="0.25">
      <c r="A42"/>
      <c r="B42"/>
    </row>
    <row r="43" spans="1:2" x14ac:dyDescent="0.25">
      <c r="B43"/>
    </row>
    <row r="44" spans="1:2" x14ac:dyDescent="0.25">
      <c r="B44"/>
    </row>
    <row r="45" spans="1:2" x14ac:dyDescent="0.25">
      <c r="B45" s="5"/>
    </row>
    <row r="46" spans="1:2" x14ac:dyDescent="0.25">
      <c r="B46" s="5"/>
    </row>
    <row r="47" spans="1:2" x14ac:dyDescent="0.25">
      <c r="B47" s="5"/>
    </row>
    <row r="48" spans="1:2" x14ac:dyDescent="0.25">
      <c r="B48" s="5"/>
    </row>
    <row r="49" spans="2:2" x14ac:dyDescent="0.25">
      <c r="B49" s="5"/>
    </row>
    <row r="50" spans="2:2" x14ac:dyDescent="0.25">
      <c r="B50" s="5"/>
    </row>
    <row r="51" spans="2:2" x14ac:dyDescent="0.25">
      <c r="B51" s="5"/>
    </row>
    <row r="52" spans="2:2" x14ac:dyDescent="0.25">
      <c r="B52" s="5"/>
    </row>
    <row r="53" spans="2:2" x14ac:dyDescent="0.25">
      <c r="B53" s="5"/>
    </row>
  </sheetData>
  <mergeCells count="6">
    <mergeCell ref="J14:K14"/>
    <mergeCell ref="L2:M2"/>
    <mergeCell ref="AN2:AO2"/>
    <mergeCell ref="L5:M5"/>
    <mergeCell ref="J8:K8"/>
    <mergeCell ref="J10:K10"/>
  </mergeCells>
  <conditionalFormatting sqref="J11:K12 J9:K9 AN3:AO3 AN8:AO8 AN16:AO16 AN12:AO12">
    <cfRule type="cellIs" dxfId="2" priority="8" operator="equal">
      <formula>0</formula>
    </cfRule>
  </conditionalFormatting>
  <conditionalFormatting sqref="J15:K15">
    <cfRule type="cellIs" dxfId="1" priority="7" operator="equal">
      <formula>0</formula>
    </cfRule>
  </conditionalFormatting>
  <conditionalFormatting sqref="J13:K13">
    <cfRule type="cellIs" dxfId="0" priority="3" operator="equal">
      <formula>0</formula>
    </cfRule>
  </conditionalFormatting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ARQ</vt:lpstr>
      <vt:lpstr>OUTROS</vt:lpstr>
      <vt:lpstr>AF</vt:lpstr>
      <vt:lpstr>ESG</vt:lpstr>
      <vt:lpstr>ELET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2023-02-27T17:51:36Z</dcterms:modified>
</cp:coreProperties>
</file>